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\\FAILID-SM\folder_sync$\Rihti.Vainsar\Desktop\23102024\MÄÄRUS\"/>
    </mc:Choice>
  </mc:AlternateContent>
  <xr:revisionPtr revIDLastSave="0" documentId="8_{8F7453DE-91C3-473A-8D3B-8992ED4368E6}" xr6:coauthVersionLast="47" xr6:coauthVersionMax="47" xr10:uidLastSave="{00000000-0000-0000-0000-000000000000}"/>
  <bookViews>
    <workbookView xWindow="-120" yWindow="-120" windowWidth="27645" windowHeight="18240" xr2:uid="{F2EB1409-840A-4195-A2A3-82FB4A19A2CE}"/>
  </bookViews>
  <sheets>
    <sheet name="Leh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2" i="1" l="1"/>
  <c r="D100" i="1"/>
  <c r="E100" i="1"/>
  <c r="F100" i="1"/>
  <c r="G100" i="1"/>
  <c r="C100" i="1"/>
  <c r="D106" i="1"/>
  <c r="E106" i="1"/>
  <c r="F106" i="1"/>
  <c r="G106" i="1"/>
  <c r="E96" i="1"/>
  <c r="E84" i="1"/>
  <c r="E69" i="1"/>
  <c r="D16" i="1"/>
  <c r="G118" i="1"/>
  <c r="F118" i="1"/>
  <c r="E118" i="1"/>
  <c r="D118" i="1"/>
  <c r="C118" i="1"/>
  <c r="G115" i="1"/>
  <c r="F115" i="1"/>
  <c r="E115" i="1"/>
  <c r="D115" i="1"/>
  <c r="C115" i="1"/>
  <c r="G112" i="1"/>
  <c r="F112" i="1"/>
  <c r="E112" i="1"/>
  <c r="D112" i="1"/>
  <c r="C112" i="1"/>
  <c r="G109" i="1"/>
  <c r="F109" i="1"/>
  <c r="E109" i="1"/>
  <c r="D109" i="1"/>
  <c r="C109" i="1"/>
  <c r="C106" i="1"/>
  <c r="G103" i="1"/>
  <c r="F103" i="1"/>
  <c r="E103" i="1"/>
  <c r="D103" i="1"/>
  <c r="C103" i="1"/>
  <c r="G97" i="1"/>
  <c r="F97" i="1"/>
  <c r="E97" i="1"/>
  <c r="D97" i="1"/>
  <c r="C97" i="1"/>
  <c r="E94" i="1"/>
  <c r="D95" i="1"/>
  <c r="D94" i="1" s="1"/>
  <c r="G94" i="1"/>
  <c r="F94" i="1"/>
  <c r="C94" i="1"/>
  <c r="G89" i="1"/>
  <c r="G25" i="1" s="1"/>
  <c r="F89" i="1"/>
  <c r="F25" i="1" s="1"/>
  <c r="G85" i="1"/>
  <c r="F85" i="1"/>
  <c r="E85" i="1"/>
  <c r="D85" i="1"/>
  <c r="C85" i="1"/>
  <c r="G84" i="1"/>
  <c r="G82" i="1" s="1"/>
  <c r="F84" i="1"/>
  <c r="E90" i="1"/>
  <c r="E24" i="1" s="1"/>
  <c r="E52" i="1" s="1"/>
  <c r="D84" i="1"/>
  <c r="C84" i="1"/>
  <c r="C82" i="1" s="1"/>
  <c r="E83" i="1"/>
  <c r="D83" i="1"/>
  <c r="D89" i="1" s="1"/>
  <c r="D25" i="1" s="1"/>
  <c r="G79" i="1"/>
  <c r="F79" i="1"/>
  <c r="E79" i="1"/>
  <c r="D79" i="1"/>
  <c r="C79" i="1"/>
  <c r="G76" i="1"/>
  <c r="F76" i="1"/>
  <c r="E76" i="1"/>
  <c r="D76" i="1"/>
  <c r="C76" i="1"/>
  <c r="G75" i="1"/>
  <c r="D75" i="1"/>
  <c r="F73" i="1"/>
  <c r="E73" i="1"/>
  <c r="C73" i="1"/>
  <c r="G70" i="1"/>
  <c r="F70" i="1"/>
  <c r="E70" i="1"/>
  <c r="D70" i="1"/>
  <c r="C70" i="1"/>
  <c r="C69" i="1"/>
  <c r="C90" i="1" s="1"/>
  <c r="C24" i="1" s="1"/>
  <c r="C68" i="1"/>
  <c r="C89" i="1" s="1"/>
  <c r="G67" i="1"/>
  <c r="F67" i="1"/>
  <c r="E67" i="1"/>
  <c r="D67" i="1"/>
  <c r="G64" i="1"/>
  <c r="F64" i="1"/>
  <c r="E64" i="1"/>
  <c r="D64" i="1"/>
  <c r="C64" i="1"/>
  <c r="G61" i="1"/>
  <c r="F61" i="1"/>
  <c r="E61" i="1"/>
  <c r="D61" i="1"/>
  <c r="C61" i="1"/>
  <c r="G58" i="1"/>
  <c r="F58" i="1"/>
  <c r="E58" i="1"/>
  <c r="D58" i="1"/>
  <c r="C58" i="1"/>
  <c r="C44" i="1"/>
  <c r="B44" i="1"/>
  <c r="C43" i="1"/>
  <c r="D43" i="1" s="1"/>
  <c r="E43" i="1" s="1"/>
  <c r="F43" i="1" s="1"/>
  <c r="G43" i="1" s="1"/>
  <c r="B42" i="1"/>
  <c r="B41" i="1"/>
  <c r="G38" i="1"/>
  <c r="F38" i="1"/>
  <c r="E38" i="1"/>
  <c r="D38" i="1"/>
  <c r="C38" i="1"/>
  <c r="B38" i="1"/>
  <c r="C37" i="1"/>
  <c r="B37" i="1"/>
  <c r="C36" i="1"/>
  <c r="B36" i="1"/>
  <c r="C35" i="1"/>
  <c r="B35" i="1"/>
  <c r="G34" i="1"/>
  <c r="F34" i="1"/>
  <c r="E34" i="1"/>
  <c r="D34" i="1"/>
  <c r="C34" i="1"/>
  <c r="G32" i="1"/>
  <c r="F32" i="1"/>
  <c r="E32" i="1"/>
  <c r="D32" i="1"/>
  <c r="C32" i="1"/>
  <c r="B32" i="1"/>
  <c r="C31" i="1"/>
  <c r="B31" i="1"/>
  <c r="C30" i="1"/>
  <c r="B30" i="1"/>
  <c r="C29" i="1"/>
  <c r="B29" i="1"/>
  <c r="C28" i="1"/>
  <c r="B28" i="1"/>
  <c r="C27" i="1"/>
  <c r="B27" i="1"/>
  <c r="E26" i="1"/>
  <c r="D26" i="1"/>
  <c r="C26" i="1"/>
  <c r="B26" i="1"/>
  <c r="C25" i="1"/>
  <c r="B25" i="1"/>
  <c r="C23" i="1"/>
  <c r="B23" i="1"/>
  <c r="C22" i="1"/>
  <c r="B22" i="1"/>
  <c r="C19" i="1"/>
  <c r="B19" i="1"/>
  <c r="C17" i="1"/>
  <c r="B17" i="1"/>
  <c r="G16" i="1"/>
  <c r="G15" i="1" s="1"/>
  <c r="G13" i="1" s="1"/>
  <c r="F16" i="1"/>
  <c r="F15" i="1" s="1"/>
  <c r="F13" i="1" s="1"/>
  <c r="E16" i="1"/>
  <c r="E15" i="1" s="1"/>
  <c r="E13" i="1" s="1"/>
  <c r="D15" i="1"/>
  <c r="D13" i="1" s="1"/>
  <c r="C16" i="1"/>
  <c r="B16" i="1"/>
  <c r="C14" i="1"/>
  <c r="B14" i="1"/>
  <c r="C12" i="1"/>
  <c r="B12" i="1"/>
  <c r="C11" i="1"/>
  <c r="B11" i="1"/>
  <c r="C10" i="1"/>
  <c r="B10" i="1"/>
  <c r="C9" i="1"/>
  <c r="C8" i="1" s="1"/>
  <c r="B9" i="1"/>
  <c r="B8" i="1" s="1"/>
  <c r="G8" i="1"/>
  <c r="F8" i="1"/>
  <c r="E8" i="1"/>
  <c r="D8" i="1"/>
  <c r="C7" i="1"/>
  <c r="B7" i="1"/>
  <c r="C6" i="1"/>
  <c r="B6" i="1"/>
  <c r="C5" i="1"/>
  <c r="B5" i="1"/>
  <c r="D4" i="1"/>
  <c r="D3" i="1" s="1"/>
  <c r="D2" i="1" s="1"/>
  <c r="C4" i="1"/>
  <c r="B4" i="1"/>
  <c r="G3" i="1"/>
  <c r="F3" i="1"/>
  <c r="E3" i="1"/>
  <c r="D90" i="1" l="1"/>
  <c r="D24" i="1" s="1"/>
  <c r="C88" i="1"/>
  <c r="F90" i="1"/>
  <c r="F24" i="1" s="1"/>
  <c r="F52" i="1" s="1"/>
  <c r="D73" i="1"/>
  <c r="E82" i="1"/>
  <c r="F54" i="1"/>
  <c r="B3" i="1"/>
  <c r="B2" i="1" s="1"/>
  <c r="C52" i="1"/>
  <c r="C15" i="1"/>
  <c r="C13" i="1" s="1"/>
  <c r="C21" i="1"/>
  <c r="B24" i="1"/>
  <c r="B52" i="1" s="1"/>
  <c r="E2" i="1"/>
  <c r="E55" i="1" s="1"/>
  <c r="G2" i="1"/>
  <c r="G20" i="1" s="1"/>
  <c r="G54" i="1"/>
  <c r="C67" i="1"/>
  <c r="D52" i="1"/>
  <c r="F2" i="1"/>
  <c r="G53" i="1" s="1"/>
  <c r="G90" i="1"/>
  <c r="G88" i="1" s="1"/>
  <c r="G23" i="1" s="1"/>
  <c r="F88" i="1"/>
  <c r="F23" i="1" s="1"/>
  <c r="F91" i="1" s="1"/>
  <c r="C3" i="1"/>
  <c r="C2" i="1" s="1"/>
  <c r="B21" i="1"/>
  <c r="D82" i="1"/>
  <c r="B34" i="1"/>
  <c r="B15" i="1"/>
  <c r="B13" i="1" s="1"/>
  <c r="C54" i="1" s="1"/>
  <c r="C41" i="1"/>
  <c r="C42" i="1"/>
  <c r="D42" i="1" s="1"/>
  <c r="E53" i="1"/>
  <c r="E20" i="1"/>
  <c r="F20" i="1"/>
  <c r="F55" i="1"/>
  <c r="F53" i="1"/>
  <c r="E54" i="1"/>
  <c r="D53" i="1"/>
  <c r="D20" i="1"/>
  <c r="D55" i="1"/>
  <c r="C91" i="1"/>
  <c r="E89" i="1"/>
  <c r="B45" i="1"/>
  <c r="D88" i="1"/>
  <c r="D23" i="1" s="1"/>
  <c r="G73" i="1"/>
  <c r="D54" i="1" l="1"/>
  <c r="C20" i="1"/>
  <c r="C33" i="1" s="1"/>
  <c r="C51" i="1" s="1"/>
  <c r="C55" i="1"/>
  <c r="F21" i="1"/>
  <c r="F33" i="1" s="1"/>
  <c r="G24" i="1"/>
  <c r="G52" i="1" s="1"/>
  <c r="G55" i="1"/>
  <c r="C45" i="1"/>
  <c r="C46" i="1" s="1"/>
  <c r="G47" i="1"/>
  <c r="D91" i="1"/>
  <c r="D21" i="1"/>
  <c r="B55" i="1"/>
  <c r="B20" i="1"/>
  <c r="E25" i="1"/>
  <c r="E88" i="1"/>
  <c r="E23" i="1" s="1"/>
  <c r="E47" i="1"/>
  <c r="B46" i="1"/>
  <c r="C47" i="1"/>
  <c r="F47" i="1"/>
  <c r="C53" i="1"/>
  <c r="D33" i="1"/>
  <c r="D47" i="1"/>
  <c r="E42" i="1"/>
  <c r="G91" i="1"/>
  <c r="G21" i="1"/>
  <c r="G33" i="1" s="1"/>
  <c r="G37" i="1" l="1"/>
  <c r="G51" i="1" s="1"/>
  <c r="F37" i="1"/>
  <c r="F51" i="1" s="1"/>
  <c r="B47" i="1"/>
  <c r="B33" i="1"/>
  <c r="B51" i="1" s="1"/>
  <c r="C48" i="1"/>
  <c r="C49" i="1"/>
  <c r="D37" i="1"/>
  <c r="D41" i="1" s="1"/>
  <c r="E91" i="1"/>
  <c r="E21" i="1"/>
  <c r="E33" i="1" s="1"/>
  <c r="F42" i="1"/>
  <c r="G48" i="1"/>
  <c r="F48" i="1"/>
  <c r="D48" i="1"/>
  <c r="E48" i="1"/>
  <c r="D45" i="1" l="1"/>
  <c r="G42" i="1"/>
  <c r="B48" i="1"/>
  <c r="B49" i="1"/>
  <c r="E37" i="1"/>
  <c r="E41" i="1" s="1"/>
  <c r="D51" i="1"/>
  <c r="E51" i="1" l="1"/>
  <c r="F41" i="1"/>
  <c r="E45" i="1"/>
  <c r="D46" i="1"/>
  <c r="D49" i="1"/>
  <c r="E46" i="1" l="1"/>
  <c r="E49" i="1"/>
  <c r="G41" i="1"/>
  <c r="G45" i="1" s="1"/>
  <c r="F45" i="1"/>
  <c r="F46" i="1" l="1"/>
  <c r="F49" i="1"/>
  <c r="G46" i="1"/>
  <c r="G4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kersti.sannik</author>
  </authors>
  <commentList>
    <comment ref="A44" authorId="0" shapeId="0" xr:uid="{EC4E8143-1F2D-4616-BFA3-E713AB8F61CC}">
      <text>
        <r>
          <rPr>
            <b/>
            <sz val="9"/>
            <color indexed="81"/>
            <rFont val="Tahoma"/>
            <family val="2"/>
            <charset val="186"/>
          </rPr>
          <t>kersti.sannik:</t>
        </r>
        <r>
          <rPr>
            <sz val="9"/>
            <color indexed="81"/>
            <rFont val="Tahoma"/>
            <family val="2"/>
            <charset val="186"/>
          </rPr>
          <t xml:space="preserve">
sildfinantseering</t>
        </r>
      </text>
    </comment>
    <comment ref="A47" authorId="0" shapeId="0" xr:uid="{EFA8CCFC-3ECB-499C-8779-8EDBF79B0D81}">
      <text>
        <r>
          <rPr>
            <b/>
            <sz val="9"/>
            <color indexed="81"/>
            <rFont val="Tahoma"/>
            <family val="2"/>
            <charset val="186"/>
          </rPr>
          <t>kersti.sannik:</t>
        </r>
        <r>
          <rPr>
            <sz val="9"/>
            <color indexed="81"/>
            <rFont val="Tahoma"/>
            <family val="2"/>
            <charset val="186"/>
          </rPr>
          <t xml:space="preserve">
see on individuaalne piirmäär, millest rohkem võlakohustusi võtta ei tohi</t>
        </r>
      </text>
    </comment>
    <comment ref="A48" authorId="0" shapeId="0" xr:uid="{19353F46-2E25-41FB-BEFF-DAF1D704FE9F}">
      <text>
        <r>
          <rPr>
            <b/>
            <sz val="9"/>
            <color indexed="81"/>
            <rFont val="Tahoma"/>
            <family val="2"/>
            <charset val="186"/>
          </rPr>
          <t>kersti.sannik:</t>
        </r>
        <r>
          <rPr>
            <sz val="9"/>
            <color indexed="81"/>
            <rFont val="Tahoma"/>
            <family val="2"/>
            <charset val="186"/>
          </rPr>
          <t xml:space="preserve">
see on individuaalne piirmäär (%), millest rohkem võlakohustusi võtta ei tohi</t>
        </r>
      </text>
    </comment>
    <comment ref="A52" authorId="0" shapeId="0" xr:uid="{9EC37649-9944-45F7-A96C-CF08EB238517}">
      <text>
        <r>
          <rPr>
            <b/>
            <sz val="9"/>
            <color indexed="81"/>
            <rFont val="Tahoma"/>
            <family val="2"/>
            <charset val="186"/>
          </rPr>
          <t>kersti.sannik:</t>
        </r>
        <r>
          <rPr>
            <sz val="9"/>
            <color indexed="81"/>
            <rFont val="Tahoma"/>
            <family val="2"/>
            <charset val="186"/>
          </rPr>
          <t xml:space="preserve">
laenu ei tohi rohkem võtta kui investeeringute omaosaluse katteks, osakute soetamiseks ja sihtfini ning laenu andmiseks</t>
        </r>
      </text>
    </comment>
  </commentList>
</comments>
</file>

<file path=xl/sharedStrings.xml><?xml version="1.0" encoding="utf-8"?>
<sst xmlns="http://schemas.openxmlformats.org/spreadsheetml/2006/main" count="130" uniqueCount="86">
  <si>
    <t>Kuusalu vald</t>
  </si>
  <si>
    <t>2023 täitmine</t>
  </si>
  <si>
    <t>2024 eeldatav täitmine</t>
  </si>
  <si>
    <t>2025 eelarve</t>
  </si>
  <si>
    <t>2026 eelarve</t>
  </si>
  <si>
    <t>2027 eelarve</t>
  </si>
  <si>
    <t>2028 eelarve</t>
  </si>
  <si>
    <t>Põhitegevuse tulud kokku</t>
  </si>
  <si>
    <t xml:space="preserve">     Maksutulud</t>
  </si>
  <si>
    <t xml:space="preserve">          sh tulumaks</t>
  </si>
  <si>
    <t xml:space="preserve">          sh maamaks</t>
  </si>
  <si>
    <t xml:space="preserve">          sh muud maksutulud</t>
  </si>
  <si>
    <t xml:space="preserve">    Tulud kaupade ja teenuste müügist</t>
  </si>
  <si>
    <t xml:space="preserve">    Saadavad toetused tegevuskuludeks</t>
  </si>
  <si>
    <t xml:space="preserve">         sh  tasandusfond </t>
  </si>
  <si>
    <t xml:space="preserve">         sh  toetusfond</t>
  </si>
  <si>
    <t xml:space="preserve">         sh muud saadud toetused tegevuskuludeks</t>
  </si>
  <si>
    <t xml:space="preserve">     Muud tegevustulud</t>
  </si>
  <si>
    <t>Põhitegevuse kulud kokku</t>
  </si>
  <si>
    <t xml:space="preserve">     Antavad toetused tegevuskuludeks</t>
  </si>
  <si>
    <t xml:space="preserve">     Muud tegevuskulud</t>
  </si>
  <si>
    <t xml:space="preserve">          sh personalikulud</t>
  </si>
  <si>
    <t xml:space="preserve">          sh majandamiskulud</t>
  </si>
  <si>
    <r>
      <t xml:space="preserve">             sh alates </t>
    </r>
    <r>
      <rPr>
        <b/>
        <i/>
        <sz val="8"/>
        <rFont val="Arial"/>
        <family val="2"/>
        <charset val="186"/>
      </rPr>
      <t>2012</t>
    </r>
    <r>
      <rPr>
        <i/>
        <sz val="8"/>
        <rFont val="Arial"/>
        <family val="2"/>
        <charset val="186"/>
      </rPr>
      <t xml:space="preserve"> sõlmitud katkestamatud kasutusrendimaksed </t>
    </r>
  </si>
  <si>
    <t xml:space="preserve">          sh muud kulud</t>
  </si>
  <si>
    <t>Põhitegevuse tulem</t>
  </si>
  <si>
    <t>Investeerimistegevus kokku</t>
  </si>
  <si>
    <t xml:space="preserve">    Põhivara müük (+)</t>
  </si>
  <si>
    <t xml:space="preserve">    Põhivara soetus (-)</t>
  </si>
  <si>
    <t xml:space="preserve">         sh projektide omaosalus</t>
  </si>
  <si>
    <t xml:space="preserve">   Põhivara soetuseks saadav sihtfinantseerimine (+)</t>
  </si>
  <si>
    <t xml:space="preserve">   Põhivara soetuseks antav sihtfinantseerimine (-)</t>
  </si>
  <si>
    <t xml:space="preserve">   Osaluste ning muude aktsiate ja osade müük (+)</t>
  </si>
  <si>
    <t xml:space="preserve">   Osaluste ning muude aktsiate ja osade soetus (-)</t>
  </si>
  <si>
    <t xml:space="preserve">   Tagasilaekuvad laenud (+)</t>
  </si>
  <si>
    <t xml:space="preserve">   Antavad laenud (-)</t>
  </si>
  <si>
    <t xml:space="preserve">   Finantstulud (+)</t>
  </si>
  <si>
    <t xml:space="preserve">   Finantskulud (-)</t>
  </si>
  <si>
    <t>Eelarve tulem</t>
  </si>
  <si>
    <t>Finantseerimistegevus</t>
  </si>
  <si>
    <t xml:space="preserve">   Kohustiste võtmine (+)</t>
  </si>
  <si>
    <t xml:space="preserve">   Kohustiste tasumine (-)</t>
  </si>
  <si>
    <t>Likviidsete varade muutus (+ suurenemine, - vähenemine)</t>
  </si>
  <si>
    <t>Nõuete ja kohustiste saldode muutus kokku (+ /-)</t>
  </si>
  <si>
    <t xml:space="preserve">   sh nõuete muutus (- suurenemine/ + vähenemine)</t>
  </si>
  <si>
    <t xml:space="preserve">   sh kohustiste muutus (+ suurenemine/ - vähenemine)</t>
  </si>
  <si>
    <t>Likviidsete varade suunamata jääk aasta lõpuks</t>
  </si>
  <si>
    <t>Võlakohustised kokku aasta lõpu seisuga</t>
  </si>
  <si>
    <t xml:space="preserve">    sh üle 1 a perioodiga mittekatkestatav kasutusrent (konto 913100), sihtfinantseerimise kohustised (konto 253550), saadud ettemaksed (kontogrupp 2038)</t>
  </si>
  <si>
    <t xml:space="preserve">    sh kohustised, mille võrra võib ületada netovõlakoormuse piirmäära</t>
  </si>
  <si>
    <r>
      <t>Netovõlakoormus (</t>
    </r>
    <r>
      <rPr>
        <b/>
        <u/>
        <sz val="10"/>
        <rFont val="Arial"/>
        <family val="2"/>
        <charset val="186"/>
      </rPr>
      <t>eurodes</t>
    </r>
    <r>
      <rPr>
        <b/>
        <sz val="10"/>
        <rFont val="Arial"/>
        <family val="2"/>
        <charset val="186"/>
      </rPr>
      <t>)</t>
    </r>
  </si>
  <si>
    <r>
      <t>Netovõlakoormus (</t>
    </r>
    <r>
      <rPr>
        <b/>
        <u/>
        <sz val="10"/>
        <rFont val="Arial"/>
        <family val="2"/>
        <charset val="186"/>
      </rPr>
      <t>%</t>
    </r>
    <r>
      <rPr>
        <b/>
        <sz val="10"/>
        <rFont val="Arial"/>
        <family val="2"/>
        <charset val="186"/>
      </rPr>
      <t>)</t>
    </r>
  </si>
  <si>
    <r>
      <t>Netovõlakoormuse ülemmäär (</t>
    </r>
    <r>
      <rPr>
        <b/>
        <u/>
        <sz val="10"/>
        <rFont val="Arial"/>
        <family val="2"/>
        <charset val="186"/>
      </rPr>
      <t>eurodes</t>
    </r>
    <r>
      <rPr>
        <b/>
        <sz val="10"/>
        <rFont val="Arial"/>
        <family val="2"/>
        <charset val="186"/>
      </rPr>
      <t>)</t>
    </r>
  </si>
  <si>
    <r>
      <t>Netovõlakoormuse individuaalne ülemmäär (</t>
    </r>
    <r>
      <rPr>
        <b/>
        <u/>
        <sz val="10"/>
        <rFont val="Arial"/>
        <family val="2"/>
        <charset val="186"/>
      </rPr>
      <t>%</t>
    </r>
    <r>
      <rPr>
        <b/>
        <sz val="10"/>
        <rFont val="Arial"/>
        <family val="2"/>
        <charset val="186"/>
      </rPr>
      <t>)</t>
    </r>
  </si>
  <si>
    <t>Vaba netovõlakoormus (eurodes)</t>
  </si>
  <si>
    <t>E/a kontroll (tasakaal)</t>
  </si>
  <si>
    <t>Kohustiste võtmise kontroll</t>
  </si>
  <si>
    <t>Põhitegevuse tulude muutus</t>
  </si>
  <si>
    <t>-</t>
  </si>
  <si>
    <t>Põhitegevuse kulude muutus</t>
  </si>
  <si>
    <t>Omafinantseerimise võimekuse näitaja</t>
  </si>
  <si>
    <t>Investeeringuobjektid* (alati "+" märgiga)</t>
  </si>
  <si>
    <t>01 Üldised valitsussektori teenused</t>
  </si>
  <si>
    <t>sh toetuse arvelt</t>
  </si>
  <si>
    <t>sh muude vahendite arvelt (omaosalus)</t>
  </si>
  <si>
    <t>02 Riigikaitse</t>
  </si>
  <si>
    <t>03 Avalik kord ja julgeolek</t>
  </si>
  <si>
    <t>04 Majandus</t>
  </si>
  <si>
    <t>05 Keskkonnakaitse</t>
  </si>
  <si>
    <t>06 Elamu- ja kommunaalmajandus</t>
  </si>
  <si>
    <t>07 Tervishoid</t>
  </si>
  <si>
    <t>08 Vabaaeg, kultuur ja religioon</t>
  </si>
  <si>
    <t>09 Haridus</t>
  </si>
  <si>
    <t>10 Sotsiaalne kaitse</t>
  </si>
  <si>
    <t>KÕIK KOKKU</t>
  </si>
  <si>
    <t>Põhivara soetuse kontroll</t>
  </si>
  <si>
    <t>Suuremad investeeringud nimeliselt</t>
  </si>
  <si>
    <t>Kuusalu Keskkooli laiendus ja rekonstrueerimine</t>
  </si>
  <si>
    <t>Kuusalu Keskväljaku arendus</t>
  </si>
  <si>
    <t>Kolga Kooli rekonstrueerimine</t>
  </si>
  <si>
    <t>Raamatukogu ja noortekeskuse ehitus</t>
  </si>
  <si>
    <t>Vihasoo Rahvamaja renoveerimisprojekt</t>
  </si>
  <si>
    <t>Kuusalu Kunstide Kool ruumide rek</t>
  </si>
  <si>
    <t>Kuusalu Vallavalitsus Kiiu Mõisa pargiprojekt</t>
  </si>
  <si>
    <t>Jäätmejaama ehitus</t>
  </si>
  <si>
    <t>Kuusalu KK Spordikeskuse saunade rek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</si>
</sst>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7" x14ac:knownFonts="1">
    <font>
      <sz val="11"/>
      <color theme="1"/>
      <name val="Aptos Narrow"/>
      <family val="2"/>
      <charset val="186"/>
      <scheme val="minor"/>
    </font>
    <font>
      <b/>
      <sz val="10"/>
      <name val="Arial"/>
      <family val="2"/>
      <charset val="186"/>
    </font>
    <font>
      <sz val="8"/>
      <name val="Arial"/>
      <family val="2"/>
      <charset val="186"/>
    </font>
    <font>
      <sz val="10"/>
      <name val="Arial"/>
      <family val="2"/>
      <charset val="186"/>
    </font>
    <font>
      <i/>
      <sz val="8"/>
      <name val="Arial"/>
      <family val="2"/>
      <charset val="186"/>
    </font>
    <font>
      <b/>
      <i/>
      <sz val="8"/>
      <name val="Arial"/>
      <family val="2"/>
      <charset val="186"/>
    </font>
    <font>
      <sz val="8"/>
      <color indexed="8"/>
      <name val="Arial"/>
      <family val="2"/>
      <charset val="186"/>
    </font>
    <font>
      <sz val="10"/>
      <name val="Times New Roman"/>
      <family val="1"/>
      <charset val="186"/>
    </font>
    <font>
      <b/>
      <u/>
      <sz val="10"/>
      <name val="Arial"/>
      <family val="2"/>
      <charset val="186"/>
    </font>
    <font>
      <b/>
      <sz val="10"/>
      <color indexed="10"/>
      <name val="Arial"/>
      <family val="2"/>
      <charset val="186"/>
    </font>
    <font>
      <sz val="8"/>
      <color rgb="FFFF0000"/>
      <name val="Arial"/>
      <family val="2"/>
      <charset val="186"/>
    </font>
    <font>
      <b/>
      <i/>
      <sz val="10"/>
      <name val="Arial"/>
      <family val="2"/>
      <charset val="186"/>
    </font>
    <font>
      <sz val="10"/>
      <color theme="1"/>
      <name val="Arial"/>
      <family val="2"/>
      <charset val="186"/>
    </font>
    <font>
      <b/>
      <sz val="9"/>
      <color indexed="81"/>
      <name val="Tahoma"/>
      <family val="2"/>
      <charset val="186"/>
    </font>
    <font>
      <sz val="9"/>
      <color indexed="81"/>
      <name val="Tahoma"/>
      <family val="2"/>
      <charset val="186"/>
    </font>
    <font>
      <sz val="11"/>
      <color theme="1"/>
      <name val="Arial"/>
      <family val="2"/>
      <charset val="186"/>
    </font>
    <font>
      <b/>
      <sz val="10"/>
      <color theme="1"/>
      <name val="Arial"/>
      <family val="2"/>
      <charset val="186"/>
    </font>
  </fonts>
  <fills count="19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69696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7" fillId="0" borderId="0"/>
    <xf numFmtId="0" fontId="7" fillId="0" borderId="0"/>
  </cellStyleXfs>
  <cellXfs count="107">
    <xf numFmtId="0" fontId="0" fillId="0" borderId="0" xfId="0"/>
    <xf numFmtId="0" fontId="1" fillId="2" borderId="2" xfId="0" applyFont="1" applyFill="1" applyBorder="1" applyAlignment="1">
      <alignment horizontal="center" wrapText="1"/>
    </xf>
    <xf numFmtId="0" fontId="1" fillId="0" borderId="3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3" fontId="3" fillId="4" borderId="9" xfId="0" applyNumberFormat="1" applyFont="1" applyFill="1" applyBorder="1" applyAlignment="1">
      <alignment wrapText="1"/>
    </xf>
    <xf numFmtId="3" fontId="3" fillId="0" borderId="7" xfId="0" applyNumberFormat="1" applyFont="1" applyBorder="1"/>
    <xf numFmtId="3" fontId="3" fillId="0" borderId="8" xfId="0" applyNumberFormat="1" applyFont="1" applyBorder="1"/>
    <xf numFmtId="0" fontId="1" fillId="0" borderId="6" xfId="0" applyFont="1" applyBorder="1" applyAlignment="1">
      <alignment horizontal="left"/>
    </xf>
    <xf numFmtId="0" fontId="4" fillId="6" borderId="6" xfId="0" applyFont="1" applyFill="1" applyBorder="1" applyAlignment="1">
      <alignment horizontal="left"/>
    </xf>
    <xf numFmtId="3" fontId="3" fillId="6" borderId="7" xfId="0" applyNumberFormat="1" applyFont="1" applyFill="1" applyBorder="1"/>
    <xf numFmtId="3" fontId="3" fillId="6" borderId="8" xfId="0" applyNumberFormat="1" applyFont="1" applyFill="1" applyBorder="1"/>
    <xf numFmtId="0" fontId="1" fillId="7" borderId="10" xfId="0" applyFont="1" applyFill="1" applyBorder="1" applyAlignment="1">
      <alignment horizontal="left"/>
    </xf>
    <xf numFmtId="3" fontId="1" fillId="3" borderId="9" xfId="0" applyNumberFormat="1" applyFont="1" applyFill="1" applyBorder="1" applyAlignment="1">
      <alignment wrapText="1"/>
    </xf>
    <xf numFmtId="3" fontId="1" fillId="3" borderId="7" xfId="0" applyNumberFormat="1" applyFont="1" applyFill="1" applyBorder="1" applyAlignment="1">
      <alignment wrapText="1"/>
    </xf>
    <xf numFmtId="3" fontId="1" fillId="3" borderId="8" xfId="0" applyNumberFormat="1" applyFont="1" applyFill="1" applyBorder="1" applyAlignment="1">
      <alignment wrapText="1"/>
    </xf>
    <xf numFmtId="0" fontId="1" fillId="0" borderId="11" xfId="0" applyFont="1" applyBorder="1" applyAlignment="1">
      <alignment horizontal="left" wrapText="1"/>
    </xf>
    <xf numFmtId="0" fontId="2" fillId="0" borderId="11" xfId="0" applyFont="1" applyBorder="1" applyAlignment="1">
      <alignment horizontal="left" wrapText="1"/>
    </xf>
    <xf numFmtId="3" fontId="3" fillId="7" borderId="7" xfId="0" applyNumberFormat="1" applyFont="1" applyFill="1" applyBorder="1"/>
    <xf numFmtId="49" fontId="4" fillId="0" borderId="11" xfId="0" applyNumberFormat="1" applyFont="1" applyBorder="1" applyAlignment="1">
      <alignment horizontal="left" wrapText="1"/>
    </xf>
    <xf numFmtId="0" fontId="6" fillId="0" borderId="11" xfId="0" applyFont="1" applyBorder="1" applyAlignment="1">
      <alignment horizontal="left" wrapText="1"/>
    </xf>
    <xf numFmtId="3" fontId="3" fillId="8" borderId="7" xfId="0" applyNumberFormat="1" applyFont="1" applyFill="1" applyBorder="1"/>
    <xf numFmtId="0" fontId="2" fillId="0" borderId="11" xfId="1" applyFont="1" applyBorder="1"/>
    <xf numFmtId="0" fontId="2" fillId="0" borderId="10" xfId="0" applyFont="1" applyBorder="1" applyAlignment="1">
      <alignment horizontal="left"/>
    </xf>
    <xf numFmtId="0" fontId="2" fillId="0" borderId="13" xfId="0" applyFont="1" applyBorder="1" applyAlignment="1">
      <alignment horizontal="left" wrapText="1"/>
    </xf>
    <xf numFmtId="3" fontId="3" fillId="10" borderId="7" xfId="0" applyNumberFormat="1" applyFont="1" applyFill="1" applyBorder="1"/>
    <xf numFmtId="3" fontId="3" fillId="11" borderId="7" xfId="0" applyNumberFormat="1" applyFont="1" applyFill="1" applyBorder="1"/>
    <xf numFmtId="3" fontId="3" fillId="12" borderId="7" xfId="0" applyNumberFormat="1" applyFont="1" applyFill="1" applyBorder="1"/>
    <xf numFmtId="3" fontId="3" fillId="13" borderId="8" xfId="0" applyNumberFormat="1" applyFont="1" applyFill="1" applyBorder="1"/>
    <xf numFmtId="3" fontId="3" fillId="3" borderId="7" xfId="0" applyNumberFormat="1" applyFont="1" applyFill="1" applyBorder="1" applyAlignment="1">
      <alignment wrapText="1"/>
    </xf>
    <xf numFmtId="3" fontId="3" fillId="3" borderId="8" xfId="0" applyNumberFormat="1" applyFont="1" applyFill="1" applyBorder="1" applyAlignment="1">
      <alignment wrapText="1"/>
    </xf>
    <xf numFmtId="0" fontId="2" fillId="0" borderId="11" xfId="0" applyFont="1" applyBorder="1" applyAlignment="1">
      <alignment wrapText="1"/>
    </xf>
    <xf numFmtId="0" fontId="2" fillId="0" borderId="10" xfId="0" applyFont="1" applyBorder="1"/>
    <xf numFmtId="3" fontId="3" fillId="4" borderId="9" xfId="0" applyNumberFormat="1" applyFont="1" applyFill="1" applyBorder="1"/>
    <xf numFmtId="3" fontId="1" fillId="14" borderId="7" xfId="0" applyNumberFormat="1" applyFont="1" applyFill="1" applyBorder="1"/>
    <xf numFmtId="3" fontId="1" fillId="15" borderId="7" xfId="0" applyNumberFormat="1" applyFont="1" applyFill="1" applyBorder="1"/>
    <xf numFmtId="3" fontId="1" fillId="12" borderId="7" xfId="0" applyNumberFormat="1" applyFont="1" applyFill="1" applyBorder="1"/>
    <xf numFmtId="3" fontId="1" fillId="16" borderId="7" xfId="0" applyNumberFormat="1" applyFont="1" applyFill="1" applyBorder="1"/>
    <xf numFmtId="3" fontId="1" fillId="3" borderId="8" xfId="0" applyNumberFormat="1" applyFont="1" applyFill="1" applyBorder="1"/>
    <xf numFmtId="3" fontId="3" fillId="8" borderId="17" xfId="0" applyNumberFormat="1" applyFont="1" applyFill="1" applyBorder="1" applyAlignment="1">
      <alignment horizontal="right"/>
    </xf>
    <xf numFmtId="3" fontId="3" fillId="8" borderId="8" xfId="0" applyNumberFormat="1" applyFont="1" applyFill="1" applyBorder="1"/>
    <xf numFmtId="0" fontId="2" fillId="0" borderId="18" xfId="0" applyFont="1" applyBorder="1" applyAlignment="1">
      <alignment wrapText="1"/>
    </xf>
    <xf numFmtId="3" fontId="3" fillId="4" borderId="19" xfId="0" applyNumberFormat="1" applyFont="1" applyFill="1" applyBorder="1" applyAlignment="1">
      <alignment horizontal="right"/>
    </xf>
    <xf numFmtId="3" fontId="3" fillId="0" borderId="20" xfId="0" applyNumberFormat="1" applyFont="1" applyBorder="1"/>
    <xf numFmtId="0" fontId="1" fillId="0" borderId="11" xfId="0" applyFont="1" applyBorder="1" applyAlignment="1">
      <alignment wrapText="1"/>
    </xf>
    <xf numFmtId="0" fontId="9" fillId="0" borderId="21" xfId="0" applyFont="1" applyBorder="1" applyAlignment="1">
      <alignment wrapText="1"/>
    </xf>
    <xf numFmtId="3" fontId="9" fillId="3" borderId="22" xfId="0" applyNumberFormat="1" applyFont="1" applyFill="1" applyBorder="1" applyAlignment="1">
      <alignment wrapText="1"/>
    </xf>
    <xf numFmtId="3" fontId="9" fillId="3" borderId="23" xfId="0" applyNumberFormat="1" applyFont="1" applyFill="1" applyBorder="1" applyAlignment="1">
      <alignment wrapText="1"/>
    </xf>
    <xf numFmtId="0" fontId="10" fillId="0" borderId="0" xfId="0" applyFont="1" applyAlignment="1">
      <alignment wrapText="1"/>
    </xf>
    <xf numFmtId="3" fontId="10" fillId="0" borderId="0" xfId="0" applyNumberFormat="1" applyFont="1" applyAlignment="1">
      <alignment horizontal="right" wrapText="1"/>
    </xf>
    <xf numFmtId="0" fontId="3" fillId="0" borderId="7" xfId="0" applyFont="1" applyBorder="1" applyAlignment="1">
      <alignment wrapText="1"/>
    </xf>
    <xf numFmtId="3" fontId="2" fillId="0" borderId="7" xfId="0" applyNumberFormat="1" applyFont="1" applyBorder="1" applyAlignment="1">
      <alignment horizontal="center" wrapText="1"/>
    </xf>
    <xf numFmtId="9" fontId="2" fillId="0" borderId="7" xfId="0" applyNumberFormat="1" applyFont="1" applyBorder="1" applyAlignment="1">
      <alignment wrapText="1"/>
    </xf>
    <xf numFmtId="4" fontId="2" fillId="0" borderId="7" xfId="0" applyNumberFormat="1" applyFont="1" applyBorder="1" applyAlignment="1">
      <alignment wrapText="1"/>
    </xf>
    <xf numFmtId="0" fontId="1" fillId="0" borderId="11" xfId="2" applyFont="1" applyBorder="1"/>
    <xf numFmtId="3" fontId="1" fillId="4" borderId="7" xfId="0" applyNumberFormat="1" applyFont="1" applyFill="1" applyBorder="1"/>
    <xf numFmtId="3" fontId="1" fillId="4" borderId="8" xfId="0" applyNumberFormat="1" applyFont="1" applyFill="1" applyBorder="1"/>
    <xf numFmtId="0" fontId="4" fillId="0" borderId="11" xfId="0" applyFont="1" applyBorder="1" applyAlignment="1">
      <alignment wrapText="1"/>
    </xf>
    <xf numFmtId="0" fontId="1" fillId="7" borderId="11" xfId="0" applyFont="1" applyFill="1" applyBorder="1" applyAlignment="1">
      <alignment wrapText="1"/>
    </xf>
    <xf numFmtId="3" fontId="1" fillId="7" borderId="7" xfId="0" applyNumberFormat="1" applyFont="1" applyFill="1" applyBorder="1"/>
    <xf numFmtId="3" fontId="1" fillId="7" borderId="8" xfId="0" applyNumberFormat="1" applyFont="1" applyFill="1" applyBorder="1"/>
    <xf numFmtId="0" fontId="4" fillId="0" borderId="21" xfId="0" applyFont="1" applyBorder="1" applyAlignment="1">
      <alignment wrapText="1"/>
    </xf>
    <xf numFmtId="3" fontId="3" fillId="4" borderId="22" xfId="0" applyNumberFormat="1" applyFont="1" applyFill="1" applyBorder="1"/>
    <xf numFmtId="3" fontId="3" fillId="8" borderId="22" xfId="0" applyNumberFormat="1" applyFont="1" applyFill="1" applyBorder="1"/>
    <xf numFmtId="3" fontId="3" fillId="8" borderId="23" xfId="0" applyNumberFormat="1" applyFont="1" applyFill="1" applyBorder="1"/>
    <xf numFmtId="0" fontId="11" fillId="0" borderId="24" xfId="0" applyFont="1" applyBorder="1"/>
    <xf numFmtId="3" fontId="12" fillId="0" borderId="0" xfId="0" applyNumberFormat="1" applyFont="1"/>
    <xf numFmtId="0" fontId="1" fillId="0" borderId="0" xfId="0" applyFont="1"/>
    <xf numFmtId="0" fontId="1" fillId="2" borderId="1" xfId="0" applyFont="1" applyFill="1" applyBorder="1" applyAlignment="1">
      <alignment horizontal="center" wrapText="1"/>
    </xf>
    <xf numFmtId="3" fontId="1" fillId="3" borderId="4" xfId="0" applyNumberFormat="1" applyFont="1" applyFill="1" applyBorder="1" applyAlignment="1">
      <alignment horizontal="right" wrapText="1"/>
    </xf>
    <xf numFmtId="3" fontId="1" fillId="3" borderId="5" xfId="0" applyNumberFormat="1" applyFont="1" applyFill="1" applyBorder="1" applyAlignment="1">
      <alignment horizontal="right" wrapText="1"/>
    </xf>
    <xf numFmtId="3" fontId="3" fillId="3" borderId="9" xfId="0" applyNumberFormat="1" applyFont="1" applyFill="1" applyBorder="1" applyAlignment="1">
      <alignment wrapText="1"/>
    </xf>
    <xf numFmtId="3" fontId="3" fillId="5" borderId="9" xfId="0" applyNumberFormat="1" applyFont="1" applyFill="1" applyBorder="1" applyAlignment="1">
      <alignment wrapText="1"/>
    </xf>
    <xf numFmtId="3" fontId="3" fillId="5" borderId="8" xfId="0" applyNumberFormat="1" applyFont="1" applyFill="1" applyBorder="1" applyAlignment="1">
      <alignment wrapText="1"/>
    </xf>
    <xf numFmtId="3" fontId="3" fillId="6" borderId="9" xfId="0" applyNumberFormat="1" applyFont="1" applyFill="1" applyBorder="1" applyAlignment="1">
      <alignment wrapText="1"/>
    </xf>
    <xf numFmtId="3" fontId="3" fillId="8" borderId="9" xfId="0" applyNumberFormat="1" applyFont="1" applyFill="1" applyBorder="1" applyAlignment="1">
      <alignment wrapText="1"/>
    </xf>
    <xf numFmtId="3" fontId="3" fillId="4" borderId="12" xfId="0" applyNumberFormat="1" applyFont="1" applyFill="1" applyBorder="1" applyAlignment="1">
      <alignment wrapText="1"/>
    </xf>
    <xf numFmtId="3" fontId="3" fillId="0" borderId="7" xfId="1" applyNumberFormat="1" applyFont="1" applyBorder="1"/>
    <xf numFmtId="3" fontId="3" fillId="4" borderId="14" xfId="0" applyNumberFormat="1" applyFont="1" applyFill="1" applyBorder="1" applyAlignment="1">
      <alignment wrapText="1"/>
    </xf>
    <xf numFmtId="0" fontId="2" fillId="0" borderId="11" xfId="0" applyFont="1" applyBorder="1"/>
    <xf numFmtId="3" fontId="3" fillId="9" borderId="9" xfId="0" applyNumberFormat="1" applyFont="1" applyFill="1" applyBorder="1" applyAlignment="1">
      <alignment wrapText="1"/>
    </xf>
    <xf numFmtId="3" fontId="12" fillId="0" borderId="15" xfId="0" applyNumberFormat="1" applyFont="1" applyBorder="1"/>
    <xf numFmtId="3" fontId="12" fillId="0" borderId="16" xfId="0" applyNumberFormat="1" applyFont="1" applyBorder="1"/>
    <xf numFmtId="0" fontId="1" fillId="0" borderId="11" xfId="0" applyFont="1" applyBorder="1"/>
    <xf numFmtId="3" fontId="1" fillId="9" borderId="9" xfId="0" applyNumberFormat="1" applyFont="1" applyFill="1" applyBorder="1" applyAlignment="1">
      <alignment wrapText="1"/>
    </xf>
    <xf numFmtId="3" fontId="3" fillId="6" borderId="8" xfId="0" applyNumberFormat="1" applyFont="1" applyFill="1" applyBorder="1" applyAlignment="1">
      <alignment wrapText="1"/>
    </xf>
    <xf numFmtId="164" fontId="2" fillId="3" borderId="9" xfId="0" applyNumberFormat="1" applyFont="1" applyFill="1" applyBorder="1" applyAlignment="1">
      <alignment wrapText="1"/>
    </xf>
    <xf numFmtId="164" fontId="2" fillId="3" borderId="7" xfId="0" applyNumberFormat="1" applyFont="1" applyFill="1" applyBorder="1" applyAlignment="1">
      <alignment wrapText="1"/>
    </xf>
    <xf numFmtId="164" fontId="2" fillId="3" borderId="8" xfId="0" applyNumberFormat="1" applyFont="1" applyFill="1" applyBorder="1" applyAlignment="1">
      <alignment wrapText="1"/>
    </xf>
    <xf numFmtId="0" fontId="3" fillId="0" borderId="10" xfId="0" applyFont="1" applyBorder="1" applyAlignment="1">
      <alignment wrapText="1"/>
    </xf>
    <xf numFmtId="10" fontId="3" fillId="0" borderId="9" xfId="0" applyNumberFormat="1" applyFont="1" applyBorder="1" applyAlignment="1">
      <alignment wrapText="1"/>
    </xf>
    <xf numFmtId="0" fontId="15" fillId="0" borderId="7" xfId="0" applyFont="1" applyBorder="1"/>
    <xf numFmtId="0" fontId="15" fillId="0" borderId="8" xfId="0" applyFont="1" applyBorder="1"/>
    <xf numFmtId="0" fontId="15" fillId="0" borderId="0" xfId="0" applyFont="1"/>
    <xf numFmtId="0" fontId="1" fillId="2" borderId="1" xfId="0" applyFont="1" applyFill="1" applyBorder="1" applyAlignment="1">
      <alignment horizontal="left" wrapText="1"/>
    </xf>
    <xf numFmtId="0" fontId="15" fillId="8" borderId="7" xfId="0" applyFont="1" applyFill="1" applyBorder="1"/>
    <xf numFmtId="3" fontId="15" fillId="0" borderId="7" xfId="0" applyNumberFormat="1" applyFont="1" applyBorder="1"/>
    <xf numFmtId="0" fontId="3" fillId="17" borderId="0" xfId="0" applyFont="1" applyFill="1"/>
    <xf numFmtId="3" fontId="15" fillId="0" borderId="9" xfId="0" applyNumberFormat="1" applyFont="1" applyBorder="1"/>
    <xf numFmtId="3" fontId="16" fillId="0" borderId="7" xfId="0" applyNumberFormat="1" applyFont="1" applyBorder="1"/>
    <xf numFmtId="0" fontId="1" fillId="17" borderId="11" xfId="2" applyFont="1" applyFill="1" applyBorder="1"/>
    <xf numFmtId="3" fontId="15" fillId="17" borderId="7" xfId="0" applyNumberFormat="1" applyFont="1" applyFill="1" applyBorder="1"/>
    <xf numFmtId="3" fontId="16" fillId="17" borderId="7" xfId="0" applyNumberFormat="1" applyFont="1" applyFill="1" applyBorder="1"/>
    <xf numFmtId="3" fontId="3" fillId="17" borderId="7" xfId="0" applyNumberFormat="1" applyFont="1" applyFill="1" applyBorder="1"/>
    <xf numFmtId="3" fontId="1" fillId="8" borderId="7" xfId="0" applyNumberFormat="1" applyFont="1" applyFill="1" applyBorder="1"/>
    <xf numFmtId="3" fontId="1" fillId="18" borderId="7" xfId="0" applyNumberFormat="1" applyFont="1" applyFill="1" applyBorder="1"/>
    <xf numFmtId="0" fontId="15" fillId="18" borderId="7" xfId="0" applyFont="1" applyFill="1" applyBorder="1"/>
    <xf numFmtId="3" fontId="1" fillId="18" borderId="8" xfId="0" applyNumberFormat="1" applyFont="1" applyFill="1" applyBorder="1"/>
  </cellXfs>
  <cellStyles count="3">
    <cellStyle name="Normaallaad" xfId="0" builtinId="0"/>
    <cellStyle name="Normal_Sheet1" xfId="1" xr:uid="{EEAF25B0-582C-4131-ACA7-622FB184744D}"/>
    <cellStyle name="Normal_Sheet1 2" xfId="2" xr:uid="{01AA19E4-248A-433A-9167-835C2EC4B8DA}"/>
  </cellStyles>
  <dxfs count="2"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9696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FAILID-SM\folder_sync$\Ly.Korotejev-Piir\Desktop\Eelarve%202024\Lisa%202.%20Eelarvestrateegia%20tabel%202025-2028.xls" TargetMode="External"/><Relationship Id="rId1" Type="http://schemas.openxmlformats.org/officeDocument/2006/relationships/externalLinkPath" Target="https://server.amphora.ee/kuusaluvv/webdav/Lisa%202.%20Eelarvestrateegia%20tabel%202025-202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elarvearuanne"/>
      <sheetName val="Strateegia vorm KOV"/>
      <sheetName val="Strateegia vorm valdkonniti"/>
      <sheetName val="Strateegia vorm sõltuv üksus"/>
      <sheetName val="Strateegia vorm arvestusüksus"/>
    </sheetNames>
    <sheetDataSet>
      <sheetData sheetId="0">
        <row r="7">
          <cell r="D7">
            <v>9480000</v>
          </cell>
          <cell r="H7">
            <v>8655449.9399999995</v>
          </cell>
        </row>
        <row r="8">
          <cell r="D8">
            <v>9140000</v>
          </cell>
          <cell r="H8">
            <v>8307065.8399999999</v>
          </cell>
        </row>
        <row r="9">
          <cell r="D9">
            <v>340000</v>
          </cell>
          <cell r="H9">
            <v>348384.1</v>
          </cell>
        </row>
        <row r="14">
          <cell r="D14">
            <v>790000</v>
          </cell>
          <cell r="H14">
            <v>726472.29</v>
          </cell>
        </row>
        <row r="16">
          <cell r="D16">
            <v>559555</v>
          </cell>
          <cell r="H16">
            <v>563393</v>
          </cell>
        </row>
        <row r="17">
          <cell r="D17">
            <v>3281035</v>
          </cell>
          <cell r="H17">
            <v>3631639</v>
          </cell>
        </row>
        <row r="18">
          <cell r="D18">
            <v>275841</v>
          </cell>
          <cell r="H18">
            <v>307183.21000000002</v>
          </cell>
        </row>
        <row r="19">
          <cell r="D19">
            <v>400000</v>
          </cell>
          <cell r="H19">
            <v>396934.54</v>
          </cell>
        </row>
        <row r="25">
          <cell r="D25">
            <v>-1099289</v>
          </cell>
          <cell r="H25">
            <v>-1011922.6600000001</v>
          </cell>
        </row>
        <row r="31">
          <cell r="D31">
            <v>-8602824</v>
          </cell>
          <cell r="H31">
            <v>-8018271.5999999996</v>
          </cell>
        </row>
        <row r="32">
          <cell r="D32">
            <v>-4286539</v>
          </cell>
          <cell r="H32">
            <v>-4432193.1999999993</v>
          </cell>
        </row>
        <row r="33">
          <cell r="D33">
            <v>-18200</v>
          </cell>
          <cell r="H33">
            <v>-9136.18</v>
          </cell>
        </row>
        <row r="36">
          <cell r="H36">
            <v>56300</v>
          </cell>
        </row>
        <row r="37">
          <cell r="D37">
            <v>-1381500</v>
          </cell>
          <cell r="H37">
            <v>-574957.79</v>
          </cell>
        </row>
        <row r="38">
          <cell r="D38">
            <v>594500</v>
          </cell>
          <cell r="H38">
            <v>55329.58</v>
          </cell>
        </row>
        <row r="39">
          <cell r="D39">
            <v>-139000</v>
          </cell>
          <cell r="H39">
            <v>-31521.19</v>
          </cell>
        </row>
        <row r="46">
          <cell r="D46">
            <v>15000</v>
          </cell>
          <cell r="H46">
            <v>14238.150000000001</v>
          </cell>
        </row>
        <row r="47">
          <cell r="D47">
            <v>-415000</v>
          </cell>
          <cell r="H47">
            <v>-334744.80000000005</v>
          </cell>
        </row>
        <row r="50">
          <cell r="D50">
            <v>985000</v>
          </cell>
        </row>
        <row r="51">
          <cell r="D51">
            <v>-500000</v>
          </cell>
          <cell r="H51">
            <v>-455077.77</v>
          </cell>
        </row>
        <row r="52">
          <cell r="D52">
            <v>-61421</v>
          </cell>
          <cell r="H52">
            <v>-430650.62999999989</v>
          </cell>
        </row>
        <row r="53">
          <cell r="H53">
            <v>30234.85000000149</v>
          </cell>
        </row>
        <row r="156">
          <cell r="H156">
            <v>7527199.5999999996</v>
          </cell>
        </row>
        <row r="158">
          <cell r="H158">
            <v>943342.91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8B71DC-28AD-4E4E-8E5F-003D27BF51A4}">
  <dimension ref="A1:G120"/>
  <sheetViews>
    <sheetView tabSelected="1" topLeftCell="A36" zoomScale="130" zoomScaleNormal="130" workbookViewId="0">
      <selection activeCell="B97" sqref="B97:G97"/>
    </sheetView>
  </sheetViews>
  <sheetFormatPr defaultRowHeight="15" x14ac:dyDescent="0.25"/>
  <cols>
    <col min="1" max="1" width="47.5703125" customWidth="1"/>
    <col min="2" max="2" width="12.85546875" customWidth="1"/>
    <col min="3" max="3" width="12" customWidth="1"/>
    <col min="4" max="4" width="11.5703125" customWidth="1"/>
    <col min="5" max="5" width="11" customWidth="1"/>
    <col min="6" max="6" width="11.28515625" customWidth="1"/>
    <col min="7" max="7" width="11.85546875" customWidth="1"/>
  </cols>
  <sheetData>
    <row r="1" spans="1:7" ht="39.75" thickBot="1" x14ac:dyDescent="0.3">
      <c r="A1" s="67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x14ac:dyDescent="0.25">
      <c r="A2" s="2" t="s">
        <v>7</v>
      </c>
      <c r="B2" s="68">
        <f t="shared" ref="B2:C2" si="0">B3+B7+B8+B12</f>
        <v>14281071.98</v>
      </c>
      <c r="C2" s="68">
        <f t="shared" si="0"/>
        <v>14786431</v>
      </c>
      <c r="D2" s="68">
        <f>(D3+D7+D8+D12)</f>
        <v>15338892</v>
      </c>
      <c r="E2" s="68">
        <f>(E3+E7+E8+E12)</f>
        <v>15843392</v>
      </c>
      <c r="F2" s="68">
        <f>(F3+F7+F8+F12)</f>
        <v>16348392</v>
      </c>
      <c r="G2" s="69">
        <f>(G3+G7+G8+G12)</f>
        <v>16898392</v>
      </c>
    </row>
    <row r="3" spans="1:7" x14ac:dyDescent="0.25">
      <c r="A3" s="3" t="s">
        <v>8</v>
      </c>
      <c r="B3" s="28">
        <f t="shared" ref="B3:G3" si="1">SUM(B4:B6)</f>
        <v>8655449.9399999995</v>
      </c>
      <c r="C3" s="28">
        <f t="shared" si="1"/>
        <v>9480000</v>
      </c>
      <c r="D3" s="28">
        <f t="shared" si="1"/>
        <v>10094000</v>
      </c>
      <c r="E3" s="28">
        <f t="shared" si="1"/>
        <v>10594000</v>
      </c>
      <c r="F3" s="28">
        <f t="shared" si="1"/>
        <v>11094000</v>
      </c>
      <c r="G3" s="29">
        <f t="shared" si="1"/>
        <v>11644000</v>
      </c>
    </row>
    <row r="4" spans="1:7" x14ac:dyDescent="0.25">
      <c r="A4" s="3" t="s">
        <v>9</v>
      </c>
      <c r="B4" s="4">
        <f>[1]Eelarvearuanne!H8</f>
        <v>8307065.8399999999</v>
      </c>
      <c r="C4" s="4">
        <f>[1]Eelarvearuanne!D8</f>
        <v>9140000</v>
      </c>
      <c r="D4" s="5">
        <f>9600000</f>
        <v>9600000</v>
      </c>
      <c r="E4" s="5">
        <v>10100000</v>
      </c>
      <c r="F4" s="5">
        <v>10600000</v>
      </c>
      <c r="G4" s="6">
        <v>11150000</v>
      </c>
    </row>
    <row r="5" spans="1:7" x14ac:dyDescent="0.25">
      <c r="A5" s="3" t="s">
        <v>10</v>
      </c>
      <c r="B5" s="4">
        <f>[1]Eelarvearuanne!H9</f>
        <v>348384.1</v>
      </c>
      <c r="C5" s="4">
        <f>[1]Eelarvearuanne!D9</f>
        <v>340000</v>
      </c>
      <c r="D5" s="5">
        <v>494000</v>
      </c>
      <c r="E5" s="5">
        <v>494000</v>
      </c>
      <c r="F5" s="5">
        <v>494000</v>
      </c>
      <c r="G5" s="5">
        <v>494000</v>
      </c>
    </row>
    <row r="6" spans="1:7" x14ac:dyDescent="0.25">
      <c r="A6" s="3" t="s">
        <v>11</v>
      </c>
      <c r="B6" s="4">
        <f>[1]Eelarvearuanne!H7-[1]Eelarvearuanne!H8-[1]Eelarvearuanne!H9</f>
        <v>0</v>
      </c>
      <c r="C6" s="4">
        <f>[1]Eelarvearuanne!D7-[1]Eelarvearuanne!D8-[1]Eelarvearuanne!D9</f>
        <v>0</v>
      </c>
      <c r="D6" s="5">
        <v>0</v>
      </c>
      <c r="E6" s="5">
        <v>0</v>
      </c>
      <c r="F6" s="5">
        <v>0</v>
      </c>
      <c r="G6" s="6">
        <v>0</v>
      </c>
    </row>
    <row r="7" spans="1:7" x14ac:dyDescent="0.25">
      <c r="A7" s="3" t="s">
        <v>12</v>
      </c>
      <c r="B7" s="4">
        <f>[1]Eelarvearuanne!H14</f>
        <v>726472.29</v>
      </c>
      <c r="C7" s="4">
        <f>[1]Eelarvearuanne!D14</f>
        <v>790000</v>
      </c>
      <c r="D7" s="5">
        <v>820500</v>
      </c>
      <c r="E7" s="5">
        <v>825000</v>
      </c>
      <c r="F7" s="5">
        <v>830000</v>
      </c>
      <c r="G7" s="6">
        <v>830000</v>
      </c>
    </row>
    <row r="8" spans="1:7" x14ac:dyDescent="0.25">
      <c r="A8" s="3" t="s">
        <v>13</v>
      </c>
      <c r="B8" s="70">
        <f t="shared" ref="B8:G8" si="2">SUM(B9:B11)</f>
        <v>4502215.21</v>
      </c>
      <c r="C8" s="28">
        <f t="shared" si="2"/>
        <v>4116431</v>
      </c>
      <c r="D8" s="28">
        <f t="shared" si="2"/>
        <v>4024392</v>
      </c>
      <c r="E8" s="28">
        <f t="shared" si="2"/>
        <v>4024392</v>
      </c>
      <c r="F8" s="28">
        <f t="shared" si="2"/>
        <v>4024392</v>
      </c>
      <c r="G8" s="29">
        <f t="shared" si="2"/>
        <v>4024392</v>
      </c>
    </row>
    <row r="9" spans="1:7" x14ac:dyDescent="0.25">
      <c r="A9" s="3" t="s">
        <v>14</v>
      </c>
      <c r="B9" s="4">
        <f>[1]Eelarvearuanne!H16</f>
        <v>563393</v>
      </c>
      <c r="C9" s="4">
        <f>[1]Eelarvearuanne!D16</f>
        <v>559555</v>
      </c>
      <c r="D9" s="5">
        <v>559555</v>
      </c>
      <c r="E9" s="5">
        <v>559555</v>
      </c>
      <c r="F9" s="5">
        <v>559555</v>
      </c>
      <c r="G9" s="5">
        <v>559555</v>
      </c>
    </row>
    <row r="10" spans="1:7" x14ac:dyDescent="0.25">
      <c r="A10" s="3" t="s">
        <v>15</v>
      </c>
      <c r="B10" s="4">
        <f>[1]Eelarvearuanne!H17</f>
        <v>3631639</v>
      </c>
      <c r="C10" s="4">
        <f>[1]Eelarvearuanne!D17</f>
        <v>3281035</v>
      </c>
      <c r="D10" s="5">
        <v>3304837</v>
      </c>
      <c r="E10" s="5">
        <v>3304837</v>
      </c>
      <c r="F10" s="5">
        <v>3304837</v>
      </c>
      <c r="G10" s="5">
        <v>3304837</v>
      </c>
    </row>
    <row r="11" spans="1:7" x14ac:dyDescent="0.25">
      <c r="A11" s="3" t="s">
        <v>16</v>
      </c>
      <c r="B11" s="4">
        <f>[1]Eelarvearuanne!H18</f>
        <v>307183.21000000002</v>
      </c>
      <c r="C11" s="4">
        <f>[1]Eelarvearuanne!D18</f>
        <v>275841</v>
      </c>
      <c r="D11" s="5">
        <v>160000</v>
      </c>
      <c r="E11" s="5">
        <v>160000</v>
      </c>
      <c r="F11" s="5">
        <v>160000</v>
      </c>
      <c r="G11" s="5">
        <v>160000</v>
      </c>
    </row>
    <row r="12" spans="1:7" x14ac:dyDescent="0.25">
      <c r="A12" s="3" t="s">
        <v>17</v>
      </c>
      <c r="B12" s="4">
        <f>[1]Eelarvearuanne!H19</f>
        <v>396934.54</v>
      </c>
      <c r="C12" s="4">
        <f>[1]Eelarvearuanne!D19</f>
        <v>400000</v>
      </c>
      <c r="D12" s="5">
        <v>400000</v>
      </c>
      <c r="E12" s="5">
        <v>400000</v>
      </c>
      <c r="F12" s="5">
        <v>400000</v>
      </c>
      <c r="G12" s="5">
        <v>400000</v>
      </c>
    </row>
    <row r="13" spans="1:7" x14ac:dyDescent="0.25">
      <c r="A13" s="7" t="s">
        <v>18</v>
      </c>
      <c r="B13" s="12">
        <f t="shared" ref="B13" si="3">SUM(B14:B15)</f>
        <v>13471523.639999999</v>
      </c>
      <c r="C13" s="12">
        <f>C14+C15</f>
        <v>14006852</v>
      </c>
      <c r="D13" s="13">
        <f>SUM(D14:D15)</f>
        <v>14318700</v>
      </c>
      <c r="E13" s="13">
        <f>SUM(E14:E15)</f>
        <v>14520700</v>
      </c>
      <c r="F13" s="13">
        <f>SUM(F14:F15)</f>
        <v>14620700</v>
      </c>
      <c r="G13" s="14">
        <f>SUM(G14:G15)</f>
        <v>14670700</v>
      </c>
    </row>
    <row r="14" spans="1:7" x14ac:dyDescent="0.25">
      <c r="A14" s="3" t="s">
        <v>19</v>
      </c>
      <c r="B14" s="4">
        <f>-[1]Eelarvearuanne!H25</f>
        <v>1011922.6600000001</v>
      </c>
      <c r="C14" s="4">
        <f>-[1]Eelarvearuanne!D25</f>
        <v>1099289</v>
      </c>
      <c r="D14" s="5">
        <v>1100000</v>
      </c>
      <c r="E14" s="5">
        <v>1150000</v>
      </c>
      <c r="F14" s="5">
        <v>1150000</v>
      </c>
      <c r="G14" s="5">
        <v>1150000</v>
      </c>
    </row>
    <row r="15" spans="1:7" x14ac:dyDescent="0.25">
      <c r="A15" s="3" t="s">
        <v>20</v>
      </c>
      <c r="B15" s="70">
        <f t="shared" ref="B15:G15" si="4">B16+B17+B19</f>
        <v>12459600.979999999</v>
      </c>
      <c r="C15" s="70">
        <f t="shared" si="4"/>
        <v>12907563</v>
      </c>
      <c r="D15" s="71">
        <f t="shared" si="4"/>
        <v>13218700</v>
      </c>
      <c r="E15" s="71">
        <f t="shared" si="4"/>
        <v>13370700</v>
      </c>
      <c r="F15" s="71">
        <f t="shared" si="4"/>
        <v>13470700</v>
      </c>
      <c r="G15" s="72">
        <f t="shared" si="4"/>
        <v>13520700</v>
      </c>
    </row>
    <row r="16" spans="1:7" x14ac:dyDescent="0.25">
      <c r="A16" s="3" t="s">
        <v>21</v>
      </c>
      <c r="B16" s="4">
        <f>-[1]Eelarvearuanne!H31</f>
        <v>8018271.5999999996</v>
      </c>
      <c r="C16" s="4">
        <f>-[1]Eelarvearuanne!D31</f>
        <v>8602824</v>
      </c>
      <c r="D16" s="5">
        <f>8908000</f>
        <v>8908000</v>
      </c>
      <c r="E16" s="5">
        <f>9000000</f>
        <v>9000000</v>
      </c>
      <c r="F16" s="5">
        <f>9050000</f>
        <v>9050000</v>
      </c>
      <c r="G16" s="5">
        <f>9100000</f>
        <v>9100000</v>
      </c>
    </row>
    <row r="17" spans="1:7" x14ac:dyDescent="0.25">
      <c r="A17" s="3" t="s">
        <v>22</v>
      </c>
      <c r="B17" s="4">
        <f>-[1]Eelarvearuanne!H32</f>
        <v>4432193.1999999993</v>
      </c>
      <c r="C17" s="4">
        <f>-[1]Eelarvearuanne!D32</f>
        <v>4286539</v>
      </c>
      <c r="D17" s="5">
        <v>4290000</v>
      </c>
      <c r="E17" s="5">
        <v>4350000</v>
      </c>
      <c r="F17" s="5">
        <v>4400000</v>
      </c>
      <c r="G17" s="5">
        <v>4400000</v>
      </c>
    </row>
    <row r="18" spans="1:7" x14ac:dyDescent="0.25">
      <c r="A18" s="8" t="s">
        <v>23</v>
      </c>
      <c r="B18" s="73">
        <v>19602</v>
      </c>
      <c r="C18" s="73">
        <v>19602</v>
      </c>
      <c r="D18" s="9">
        <v>15915</v>
      </c>
      <c r="E18" s="9">
        <v>9258</v>
      </c>
      <c r="F18" s="9">
        <v>4344</v>
      </c>
      <c r="G18" s="10">
        <v>30</v>
      </c>
    </row>
    <row r="19" spans="1:7" x14ac:dyDescent="0.25">
      <c r="A19" s="3" t="s">
        <v>24</v>
      </c>
      <c r="B19" s="4">
        <f>-[1]Eelarvearuanne!H33</f>
        <v>9136.18</v>
      </c>
      <c r="C19" s="4">
        <f>-[1]Eelarvearuanne!D33</f>
        <v>18200</v>
      </c>
      <c r="D19" s="5">
        <v>20700</v>
      </c>
      <c r="E19" s="5">
        <v>20700</v>
      </c>
      <c r="F19" s="5">
        <v>20700</v>
      </c>
      <c r="G19" s="5">
        <v>20700</v>
      </c>
    </row>
    <row r="20" spans="1:7" x14ac:dyDescent="0.25">
      <c r="A20" s="11" t="s">
        <v>25</v>
      </c>
      <c r="B20" s="12">
        <f t="shared" ref="B20:G20" si="5">B2-B13</f>
        <v>809548.34000000171</v>
      </c>
      <c r="C20" s="13">
        <f t="shared" si="5"/>
        <v>779579</v>
      </c>
      <c r="D20" s="13">
        <f t="shared" si="5"/>
        <v>1020192</v>
      </c>
      <c r="E20" s="13">
        <f t="shared" si="5"/>
        <v>1322692</v>
      </c>
      <c r="F20" s="13">
        <f t="shared" si="5"/>
        <v>1727692</v>
      </c>
      <c r="G20" s="14">
        <f t="shared" si="5"/>
        <v>2227692</v>
      </c>
    </row>
    <row r="21" spans="1:7" x14ac:dyDescent="0.25">
      <c r="A21" s="15" t="s">
        <v>26</v>
      </c>
      <c r="B21" s="12">
        <f t="shared" ref="B21:G21" si="6">B22+B23+B25+B26+B27+B28+B29+B30+B31+B32</f>
        <v>-815356.05</v>
      </c>
      <c r="C21" s="12">
        <f>C22+C23+C25+C26+C27+C28+C29+C30+C31+C32</f>
        <v>-1326000</v>
      </c>
      <c r="D21" s="12">
        <f>D22+D23+D25+D26+D27+D28+D29+D30+D31+D32</f>
        <v>-2865000</v>
      </c>
      <c r="E21" s="12">
        <f t="shared" si="6"/>
        <v>-1999000</v>
      </c>
      <c r="F21" s="12">
        <f t="shared" si="6"/>
        <v>-1497400</v>
      </c>
      <c r="G21" s="14">
        <f t="shared" si="6"/>
        <v>-2595000</v>
      </c>
    </row>
    <row r="22" spans="1:7" x14ac:dyDescent="0.25">
      <c r="A22" s="16" t="s">
        <v>27</v>
      </c>
      <c r="B22" s="4">
        <f>[1]Eelarvearuanne!H36</f>
        <v>56300</v>
      </c>
      <c r="C22" s="4">
        <f>[1]Eelarvearuanne!D36</f>
        <v>0</v>
      </c>
      <c r="D22" s="5"/>
      <c r="E22" s="5"/>
      <c r="F22" s="5"/>
      <c r="G22" s="6"/>
    </row>
    <row r="23" spans="1:7" x14ac:dyDescent="0.25">
      <c r="A23" s="16" t="s">
        <v>28</v>
      </c>
      <c r="B23" s="4">
        <f>[1]Eelarvearuanne!H37</f>
        <v>-574957.79</v>
      </c>
      <c r="C23" s="74">
        <f>[1]Eelarvearuanne!D37</f>
        <v>-1381500</v>
      </c>
      <c r="D23" s="17">
        <f>-D88</f>
        <v>-4669838.07</v>
      </c>
      <c r="E23" s="17">
        <f>-E88</f>
        <v>-2034000</v>
      </c>
      <c r="F23" s="17">
        <f>-F88</f>
        <v>-982400</v>
      </c>
      <c r="G23" s="17">
        <f>-G88</f>
        <v>-3260000</v>
      </c>
    </row>
    <row r="24" spans="1:7" x14ac:dyDescent="0.25">
      <c r="A24" s="18" t="s">
        <v>29</v>
      </c>
      <c r="B24" s="4">
        <f>-(-B23-B25)</f>
        <v>-519628.21</v>
      </c>
      <c r="C24" s="17">
        <f>-C90</f>
        <v>-846000</v>
      </c>
      <c r="D24" s="17">
        <f>-D90</f>
        <v>-2430000</v>
      </c>
      <c r="E24" s="17">
        <f>-E90</f>
        <v>-1444000</v>
      </c>
      <c r="F24" s="17">
        <f>-F90</f>
        <v>-982400</v>
      </c>
      <c r="G24" s="17">
        <f>-G90</f>
        <v>-2080000</v>
      </c>
    </row>
    <row r="25" spans="1:7" x14ac:dyDescent="0.25">
      <c r="A25" s="19" t="s">
        <v>30</v>
      </c>
      <c r="B25" s="4">
        <f>[1]Eelarvearuanne!H38</f>
        <v>55329.58</v>
      </c>
      <c r="C25" s="20">
        <f>[1]Eelarvearuanne!D38</f>
        <v>594500</v>
      </c>
      <c r="D25" s="17">
        <f>D89+20000</f>
        <v>2259838.0700000003</v>
      </c>
      <c r="E25" s="17">
        <f>E89+20000</f>
        <v>610000</v>
      </c>
      <c r="F25" s="17">
        <f>F89+20000</f>
        <v>20000</v>
      </c>
      <c r="G25" s="17">
        <f>G89+20000</f>
        <v>1200000</v>
      </c>
    </row>
    <row r="26" spans="1:7" x14ac:dyDescent="0.25">
      <c r="A26" s="16" t="s">
        <v>31</v>
      </c>
      <c r="B26" s="4">
        <f>[1]Eelarvearuanne!H39</f>
        <v>-31521.19</v>
      </c>
      <c r="C26" s="4">
        <f>[1]Eelarvearuanne!D39</f>
        <v>-139000</v>
      </c>
      <c r="D26" s="5">
        <f>-50000</f>
        <v>-50000</v>
      </c>
      <c r="E26" s="5">
        <f>-50000-70000</f>
        <v>-120000</v>
      </c>
      <c r="F26" s="5">
        <v>-50000</v>
      </c>
      <c r="G26" s="5">
        <v>-50000</v>
      </c>
    </row>
    <row r="27" spans="1:7" x14ac:dyDescent="0.25">
      <c r="A27" s="21" t="s">
        <v>32</v>
      </c>
      <c r="B27" s="4">
        <f>[1]Eelarvearuanne!H40+[1]Eelarvearuanne!H42</f>
        <v>0</v>
      </c>
      <c r="C27" s="4">
        <f>[1]Eelarvearuanne!D40+[1]Eelarvearuanne!D42</f>
        <v>0</v>
      </c>
      <c r="D27" s="5"/>
      <c r="E27" s="5"/>
      <c r="F27" s="5"/>
      <c r="G27" s="6"/>
    </row>
    <row r="28" spans="1:7" x14ac:dyDescent="0.25">
      <c r="A28" s="21" t="s">
        <v>33</v>
      </c>
      <c r="B28" s="4">
        <f>[1]Eelarvearuanne!H41+[1]Eelarvearuanne!H43</f>
        <v>0</v>
      </c>
      <c r="C28" s="4">
        <f>[1]Eelarvearuanne!D41+[1]Eelarvearuanne!D43</f>
        <v>0</v>
      </c>
      <c r="D28" s="5"/>
      <c r="E28" s="5"/>
      <c r="F28" s="5"/>
      <c r="G28" s="6"/>
    </row>
    <row r="29" spans="1:7" x14ac:dyDescent="0.25">
      <c r="A29" s="22" t="s">
        <v>34</v>
      </c>
      <c r="B29" s="75">
        <f>[1]Eelarvearuanne!H44</f>
        <v>0</v>
      </c>
      <c r="C29" s="75">
        <f>[1]Eelarvearuanne!D44</f>
        <v>0</v>
      </c>
      <c r="D29" s="5"/>
      <c r="E29" s="5"/>
      <c r="F29" s="5"/>
      <c r="G29" s="6"/>
    </row>
    <row r="30" spans="1:7" x14ac:dyDescent="0.25">
      <c r="A30" s="21" t="s">
        <v>35</v>
      </c>
      <c r="B30" s="4">
        <f>[1]Eelarvearuanne!H45</f>
        <v>0</v>
      </c>
      <c r="C30" s="4">
        <f>[1]Eelarvearuanne!D45</f>
        <v>0</v>
      </c>
      <c r="D30" s="76"/>
      <c r="E30" s="5"/>
      <c r="F30" s="5"/>
      <c r="G30" s="6"/>
    </row>
    <row r="31" spans="1:7" x14ac:dyDescent="0.25">
      <c r="A31" s="23" t="s">
        <v>36</v>
      </c>
      <c r="B31" s="77">
        <f>[1]Eelarvearuanne!H46</f>
        <v>14238.150000000001</v>
      </c>
      <c r="C31" s="77">
        <f>[1]Eelarvearuanne!D46</f>
        <v>15000</v>
      </c>
      <c r="D31" s="5">
        <v>15000</v>
      </c>
      <c r="E31" s="5">
        <v>15000</v>
      </c>
      <c r="F31" s="5">
        <v>15000</v>
      </c>
      <c r="G31" s="5">
        <v>15000</v>
      </c>
    </row>
    <row r="32" spans="1:7" x14ac:dyDescent="0.25">
      <c r="A32" s="23" t="s">
        <v>37</v>
      </c>
      <c r="B32" s="4">
        <f>[1]Eelarvearuanne!H47</f>
        <v>-334744.80000000005</v>
      </c>
      <c r="C32" s="4">
        <f>[1]Eelarvearuanne!D47</f>
        <v>-415000</v>
      </c>
      <c r="D32" s="5">
        <f>-420000</f>
        <v>-420000</v>
      </c>
      <c r="E32" s="5">
        <f>-470000</f>
        <v>-470000</v>
      </c>
      <c r="F32" s="5">
        <f>-500000</f>
        <v>-500000</v>
      </c>
      <c r="G32" s="6">
        <f>-500000</f>
        <v>-500000</v>
      </c>
    </row>
    <row r="33" spans="1:7" x14ac:dyDescent="0.25">
      <c r="A33" s="15" t="s">
        <v>38</v>
      </c>
      <c r="B33" s="12">
        <f t="shared" ref="B33:G33" si="7">B20+B21</f>
        <v>-5807.7099999983329</v>
      </c>
      <c r="C33" s="13">
        <f t="shared" si="7"/>
        <v>-546421</v>
      </c>
      <c r="D33" s="13">
        <f>D20+D21</f>
        <v>-1844808</v>
      </c>
      <c r="E33" s="13">
        <f t="shared" si="7"/>
        <v>-676308</v>
      </c>
      <c r="F33" s="13">
        <f t="shared" si="7"/>
        <v>230292</v>
      </c>
      <c r="G33" s="14">
        <f t="shared" si="7"/>
        <v>-367308</v>
      </c>
    </row>
    <row r="34" spans="1:7" x14ac:dyDescent="0.25">
      <c r="A34" s="15" t="s">
        <v>39</v>
      </c>
      <c r="B34" s="12">
        <f t="shared" ref="B34:G34" si="8">B35+B36</f>
        <v>-455077.77</v>
      </c>
      <c r="C34" s="13">
        <f t="shared" si="8"/>
        <v>485000</v>
      </c>
      <c r="D34" s="13">
        <f t="shared" si="8"/>
        <v>1400000</v>
      </c>
      <c r="E34" s="13">
        <f t="shared" si="8"/>
        <v>325000</v>
      </c>
      <c r="F34" s="13">
        <f t="shared" si="8"/>
        <v>-200000</v>
      </c>
      <c r="G34" s="14">
        <f t="shared" si="8"/>
        <v>330000</v>
      </c>
    </row>
    <row r="35" spans="1:7" x14ac:dyDescent="0.25">
      <c r="A35" s="78" t="s">
        <v>40</v>
      </c>
      <c r="B35" s="4">
        <f>[1]Eelarvearuanne!H50</f>
        <v>0</v>
      </c>
      <c r="C35" s="4">
        <f>[1]Eelarvearuanne!D50</f>
        <v>985000</v>
      </c>
      <c r="D35" s="5">
        <v>2000000</v>
      </c>
      <c r="E35" s="5">
        <v>1000000</v>
      </c>
      <c r="F35" s="5">
        <v>500000</v>
      </c>
      <c r="G35" s="6">
        <v>1000000</v>
      </c>
    </row>
    <row r="36" spans="1:7" x14ac:dyDescent="0.25">
      <c r="A36" s="78" t="s">
        <v>41</v>
      </c>
      <c r="B36" s="4">
        <f>[1]Eelarvearuanne!H51</f>
        <v>-455077.77</v>
      </c>
      <c r="C36" s="4">
        <f>[1]Eelarvearuanne!D51</f>
        <v>-500000</v>
      </c>
      <c r="D36" s="5">
        <v>-600000</v>
      </c>
      <c r="E36" s="5">
        <v>-675000</v>
      </c>
      <c r="F36" s="5">
        <v>-700000</v>
      </c>
      <c r="G36" s="6">
        <v>-670000</v>
      </c>
    </row>
    <row r="37" spans="1:7" ht="26.25" x14ac:dyDescent="0.25">
      <c r="A37" s="43" t="s">
        <v>42</v>
      </c>
      <c r="B37" s="4">
        <f>[1]Eelarvearuanne!H52</f>
        <v>-430650.62999999989</v>
      </c>
      <c r="C37" s="79">
        <f>[1]Eelarvearuanne!D52</f>
        <v>-61421</v>
      </c>
      <c r="D37" s="24">
        <f>D33+D34+D38</f>
        <v>-444808</v>
      </c>
      <c r="E37" s="25">
        <f>E33+E34+E38</f>
        <v>-351308</v>
      </c>
      <c r="F37" s="26">
        <f>F33+F34+F38</f>
        <v>30292</v>
      </c>
      <c r="G37" s="27">
        <f>G33+G34+G38</f>
        <v>-37308</v>
      </c>
    </row>
    <row r="38" spans="1:7" x14ac:dyDescent="0.25">
      <c r="A38" s="43" t="s">
        <v>43</v>
      </c>
      <c r="B38" s="4">
        <f>[1]Eelarvearuanne!H53</f>
        <v>30234.85000000149</v>
      </c>
      <c r="C38" s="4">
        <f>[1]Eelarvearuanne!D53</f>
        <v>0</v>
      </c>
      <c r="D38" s="28">
        <f>D39+D40</f>
        <v>0</v>
      </c>
      <c r="E38" s="28">
        <f>E39+E40</f>
        <v>0</v>
      </c>
      <c r="F38" s="28">
        <f>F39+F40</f>
        <v>0</v>
      </c>
      <c r="G38" s="29">
        <f>G39+G40</f>
        <v>0</v>
      </c>
    </row>
    <row r="39" spans="1:7" x14ac:dyDescent="0.25">
      <c r="A39" s="30" t="s">
        <v>44</v>
      </c>
      <c r="B39" s="4"/>
      <c r="C39" s="4"/>
      <c r="D39" s="80"/>
      <c r="E39" s="80"/>
      <c r="F39" s="80"/>
      <c r="G39" s="81"/>
    </row>
    <row r="40" spans="1:7" x14ac:dyDescent="0.25">
      <c r="A40" s="31" t="s">
        <v>45</v>
      </c>
      <c r="B40" s="32"/>
      <c r="C40" s="32"/>
      <c r="D40" s="5"/>
      <c r="E40" s="5"/>
      <c r="F40" s="5"/>
      <c r="G40" s="6"/>
    </row>
    <row r="41" spans="1:7" x14ac:dyDescent="0.25">
      <c r="A41" s="82" t="s">
        <v>46</v>
      </c>
      <c r="B41" s="83">
        <f>[1]Eelarvearuanne!H158</f>
        <v>943342.91</v>
      </c>
      <c r="C41" s="33">
        <f>B41+C37</f>
        <v>881921.91</v>
      </c>
      <c r="D41" s="34">
        <f>C41+D37</f>
        <v>437113.91000000003</v>
      </c>
      <c r="E41" s="35">
        <f>D41+E37</f>
        <v>85805.910000000033</v>
      </c>
      <c r="F41" s="36">
        <f>E41+F37</f>
        <v>116097.91000000003</v>
      </c>
      <c r="G41" s="37">
        <f>F41+G37</f>
        <v>78789.910000000033</v>
      </c>
    </row>
    <row r="42" spans="1:7" x14ac:dyDescent="0.25">
      <c r="A42" s="43" t="s">
        <v>47</v>
      </c>
      <c r="B42" s="38">
        <f>[1]Eelarvearuanne!H156</f>
        <v>7527199.5999999996</v>
      </c>
      <c r="C42" s="20">
        <f>B42+C34+C43-B43</f>
        <v>7992597.5999999996</v>
      </c>
      <c r="D42" s="20">
        <f>C42+D34+D43-C43</f>
        <v>9376682.5999999996</v>
      </c>
      <c r="E42" s="20">
        <f>D42+E34+E43-D43</f>
        <v>9692424.5999999996</v>
      </c>
      <c r="F42" s="20">
        <f>E42+F34+F43-E43</f>
        <v>9488080.5999999996</v>
      </c>
      <c r="G42" s="39">
        <f>F42+G34+G43-F43</f>
        <v>9818050.5999999996</v>
      </c>
    </row>
    <row r="43" spans="1:7" ht="34.5" x14ac:dyDescent="0.25">
      <c r="A43" s="40" t="s">
        <v>48</v>
      </c>
      <c r="B43" s="73">
        <v>49209</v>
      </c>
      <c r="C43" s="73">
        <f>B43-C18</f>
        <v>29607</v>
      </c>
      <c r="D43" s="73">
        <f>C43-D18</f>
        <v>13692</v>
      </c>
      <c r="E43" s="73">
        <f>D43-E18</f>
        <v>4434</v>
      </c>
      <c r="F43" s="73">
        <f>E43-F18</f>
        <v>90</v>
      </c>
      <c r="G43" s="84">
        <f>F43-G18</f>
        <v>60</v>
      </c>
    </row>
    <row r="44" spans="1:7" ht="23.25" x14ac:dyDescent="0.25">
      <c r="A44" s="40" t="s">
        <v>49</v>
      </c>
      <c r="B44" s="41">
        <f>[1]Eelarvearuanne!H157</f>
        <v>0</v>
      </c>
      <c r="C44" s="41">
        <f>[1]Eelarvearuanne!D157</f>
        <v>0</v>
      </c>
      <c r="D44" s="5"/>
      <c r="E44" s="5"/>
      <c r="F44" s="5"/>
      <c r="G44" s="42"/>
    </row>
    <row r="45" spans="1:7" x14ac:dyDescent="0.25">
      <c r="A45" s="43" t="s">
        <v>50</v>
      </c>
      <c r="B45" s="70">
        <f t="shared" ref="B45:G45" si="9">IF(B42-B41&lt;0,0,B42-B41)</f>
        <v>6583856.6899999995</v>
      </c>
      <c r="C45" s="70">
        <f>IF(C42-C41&lt;0,0,C42-C41)</f>
        <v>7110675.6899999995</v>
      </c>
      <c r="D45" s="70">
        <f t="shared" si="9"/>
        <v>8939568.6899999995</v>
      </c>
      <c r="E45" s="70">
        <f t="shared" si="9"/>
        <v>9606618.6899999995</v>
      </c>
      <c r="F45" s="70">
        <f t="shared" si="9"/>
        <v>9371982.6899999995</v>
      </c>
      <c r="G45" s="29">
        <f t="shared" si="9"/>
        <v>9739260.6899999995</v>
      </c>
    </row>
    <row r="46" spans="1:7" x14ac:dyDescent="0.25">
      <c r="A46" s="43" t="s">
        <v>51</v>
      </c>
      <c r="B46" s="85">
        <f t="shared" ref="B46:G46" si="10">B45/B2</f>
        <v>0.46101978193376486</v>
      </c>
      <c r="C46" s="86">
        <f>C45/C2</f>
        <v>0.48089195357554498</v>
      </c>
      <c r="D46" s="86">
        <f t="shared" si="10"/>
        <v>0.58280407020272385</v>
      </c>
      <c r="E46" s="86">
        <f t="shared" si="10"/>
        <v>0.60634860830307047</v>
      </c>
      <c r="F46" s="86">
        <f t="shared" si="10"/>
        <v>0.57326633041341313</v>
      </c>
      <c r="G46" s="87">
        <f t="shared" si="10"/>
        <v>0.57634245258365413</v>
      </c>
    </row>
    <row r="47" spans="1:7" x14ac:dyDescent="0.25">
      <c r="A47" s="43" t="s">
        <v>52</v>
      </c>
      <c r="B47" s="70">
        <f>IF((B20+B18)*10&gt;B2,B2+B44,IF((B20+B18)*10&lt;0.8*B2,0.8*B2+B44,(B20+B18)*10+B44))</f>
        <v>11424857.584000001</v>
      </c>
      <c r="C47" s="70">
        <f>IF((C20+C18)*10&gt;C2,C2+C44,IF((C20+C18)*10&lt;0.8*C2,0.8*C2+C44,(C20+C18)*10+C44))</f>
        <v>11829144.800000001</v>
      </c>
      <c r="D47" s="70">
        <f>IF((D20+D18)*9&gt;D2,D2+D44,IF((D20+D18)*9&lt;0.75*D2,0.75*D2+D44,(D20+D18)*9+D44))</f>
        <v>11504169</v>
      </c>
      <c r="E47" s="28">
        <f>IF((E20+E18)*8&gt;E2,E2+E44,IF((E20+E18)*8&lt;0.7*E2,0.7*E2+E44,(E20+E18)*8+E44))</f>
        <v>11090374.399999999</v>
      </c>
      <c r="F47" s="29">
        <f>IF((F20+F18)*7&gt;F2,F2+F44,IF((F20+F18)*7&lt;0.65*F2,0.65*F2+F44,(F20+F18)*7+F44))</f>
        <v>12124252</v>
      </c>
      <c r="G47" s="29">
        <f>IF((G20+G18)*6&gt;G2,G2+G44,IF((G20+G18)*6&lt;0.6*G2,0.6*G2+G44,(G20+G18)*6+G44))</f>
        <v>13366332</v>
      </c>
    </row>
    <row r="48" spans="1:7" x14ac:dyDescent="0.25">
      <c r="A48" s="43" t="s">
        <v>53</v>
      </c>
      <c r="B48" s="86">
        <f t="shared" ref="B48:G48" si="11">B47/B2</f>
        <v>0.8</v>
      </c>
      <c r="C48" s="86">
        <f t="shared" si="11"/>
        <v>0.8</v>
      </c>
      <c r="D48" s="86">
        <f t="shared" si="11"/>
        <v>0.75</v>
      </c>
      <c r="E48" s="86">
        <f t="shared" si="11"/>
        <v>0.7</v>
      </c>
      <c r="F48" s="86">
        <f t="shared" si="11"/>
        <v>0.74161740188270509</v>
      </c>
      <c r="G48" s="87">
        <f t="shared" si="11"/>
        <v>0.79098247927968535</v>
      </c>
    </row>
    <row r="49" spans="1:7" x14ac:dyDescent="0.25">
      <c r="A49" s="43" t="s">
        <v>54</v>
      </c>
      <c r="B49" s="28">
        <f t="shared" ref="B49:G49" si="12">B47-B45</f>
        <v>4841000.8940000013</v>
      </c>
      <c r="C49" s="28">
        <f t="shared" si="12"/>
        <v>4718469.1100000013</v>
      </c>
      <c r="D49" s="28">
        <f t="shared" si="12"/>
        <v>2564600.3100000005</v>
      </c>
      <c r="E49" s="28">
        <f t="shared" si="12"/>
        <v>1483755.709999999</v>
      </c>
      <c r="F49" s="28">
        <f t="shared" si="12"/>
        <v>2752269.3100000005</v>
      </c>
      <c r="G49" s="29">
        <f t="shared" si="12"/>
        <v>3627071.3100000005</v>
      </c>
    </row>
    <row r="50" spans="1:7" x14ac:dyDescent="0.25">
      <c r="A50" s="88"/>
      <c r="B50" s="89"/>
      <c r="C50" s="90"/>
      <c r="D50" s="90"/>
      <c r="E50" s="90"/>
      <c r="F50" s="90"/>
      <c r="G50" s="91"/>
    </row>
    <row r="51" spans="1:7" ht="15.75" thickBot="1" x14ac:dyDescent="0.3">
      <c r="A51" s="44" t="s">
        <v>55</v>
      </c>
      <c r="B51" s="45">
        <f t="shared" ref="B51:G51" si="13">B33+B34-B37+B38</f>
        <v>3.0267983675003052E-9</v>
      </c>
      <c r="C51" s="45">
        <f>C33+C34-C37+C38</f>
        <v>0</v>
      </c>
      <c r="D51" s="45">
        <f>D33+D34-D37+D38</f>
        <v>0</v>
      </c>
      <c r="E51" s="45">
        <f t="shared" si="13"/>
        <v>0</v>
      </c>
      <c r="F51" s="45">
        <f t="shared" si="13"/>
        <v>0</v>
      </c>
      <c r="G51" s="46">
        <f t="shared" si="13"/>
        <v>0</v>
      </c>
    </row>
    <row r="52" spans="1:7" x14ac:dyDescent="0.25">
      <c r="A52" s="47" t="s">
        <v>56</v>
      </c>
      <c r="B52" s="48" t="str">
        <f t="shared" ref="B52:G52" si="14">IF((-B24-B26-B28-B30)&lt;B35,"FALSE","OK")</f>
        <v>OK</v>
      </c>
      <c r="C52" s="48" t="str">
        <f t="shared" si="14"/>
        <v>OK</v>
      </c>
      <c r="D52" s="48" t="str">
        <f t="shared" si="14"/>
        <v>OK</v>
      </c>
      <c r="E52" s="48" t="str">
        <f t="shared" si="14"/>
        <v>OK</v>
      </c>
      <c r="F52" s="48" t="str">
        <f t="shared" si="14"/>
        <v>OK</v>
      </c>
      <c r="G52" s="48" t="str">
        <f t="shared" si="14"/>
        <v>OK</v>
      </c>
    </row>
    <row r="53" spans="1:7" x14ac:dyDescent="0.25">
      <c r="A53" s="49" t="s">
        <v>57</v>
      </c>
      <c r="B53" s="50" t="s">
        <v>58</v>
      </c>
      <c r="C53" s="51">
        <f>C2/B2-1</f>
        <v>3.5386630689050014E-2</v>
      </c>
      <c r="D53" s="51">
        <f>D2/C2-1</f>
        <v>3.7362700979026053E-2</v>
      </c>
      <c r="E53" s="51">
        <f>E2/D2-1</f>
        <v>3.2890250482238148E-2</v>
      </c>
      <c r="F53" s="51">
        <f>F2/E2-1</f>
        <v>3.1874487483488423E-2</v>
      </c>
      <c r="G53" s="51">
        <f>G2/F2-1</f>
        <v>3.3642452419785362E-2</v>
      </c>
    </row>
    <row r="54" spans="1:7" x14ac:dyDescent="0.25">
      <c r="A54" s="49" t="s">
        <v>59</v>
      </c>
      <c r="B54" s="50" t="s">
        <v>58</v>
      </c>
      <c r="C54" s="51">
        <f>C13/B13-1</f>
        <v>3.9737773863268933E-2</v>
      </c>
      <c r="D54" s="51">
        <f>D13/C13-1</f>
        <v>2.2263960524463222E-2</v>
      </c>
      <c r="E54" s="51">
        <f>E13/D13-1</f>
        <v>1.4107425953473474E-2</v>
      </c>
      <c r="F54" s="51">
        <f>F13/E13-1</f>
        <v>6.8867203371738572E-3</v>
      </c>
      <c r="G54" s="51">
        <f>G13/F13-1</f>
        <v>3.4198089010786248E-3</v>
      </c>
    </row>
    <row r="55" spans="1:7" x14ac:dyDescent="0.25">
      <c r="A55" s="49" t="s">
        <v>60</v>
      </c>
      <c r="B55" s="52">
        <f t="shared" ref="B55:G55" si="15">B2/B13</f>
        <v>1.0600933021114456</v>
      </c>
      <c r="C55" s="52">
        <f t="shared" si="15"/>
        <v>1.0556569741723552</v>
      </c>
      <c r="D55" s="52">
        <f t="shared" si="15"/>
        <v>1.0712489262293365</v>
      </c>
      <c r="E55" s="52">
        <f t="shared" si="15"/>
        <v>1.0910900989621712</v>
      </c>
      <c r="F55" s="52">
        <f t="shared" si="15"/>
        <v>1.1181675295984461</v>
      </c>
      <c r="G55" s="52">
        <f t="shared" si="15"/>
        <v>1.1518463331674698</v>
      </c>
    </row>
    <row r="56" spans="1:7" ht="15.75" thickBot="1" x14ac:dyDescent="0.3">
      <c r="A56" s="92"/>
      <c r="B56" s="92"/>
      <c r="C56" s="92"/>
      <c r="D56" s="92"/>
      <c r="E56" s="92"/>
      <c r="F56" s="92"/>
      <c r="G56" s="92"/>
    </row>
    <row r="57" spans="1:7" ht="39.75" thickBot="1" x14ac:dyDescent="0.3">
      <c r="A57" s="93" t="s">
        <v>61</v>
      </c>
      <c r="B57" s="1"/>
      <c r="C57" s="1" t="s">
        <v>2</v>
      </c>
      <c r="D57" s="1" t="s">
        <v>3</v>
      </c>
      <c r="E57" s="1" t="s">
        <v>4</v>
      </c>
      <c r="F57" s="1" t="s">
        <v>5</v>
      </c>
      <c r="G57" s="1" t="s">
        <v>6</v>
      </c>
    </row>
    <row r="58" spans="1:7" x14ac:dyDescent="0.25">
      <c r="A58" s="53" t="s">
        <v>62</v>
      </c>
      <c r="B58" s="54"/>
      <c r="C58" s="54">
        <f>SUM(C59:C60)</f>
        <v>15900</v>
      </c>
      <c r="D58" s="54">
        <f>SUM(D59:D60)</f>
        <v>0</v>
      </c>
      <c r="E58" s="54">
        <f>SUM(E59:E60)</f>
        <v>0</v>
      </c>
      <c r="F58" s="54">
        <f>SUM(F59:F60)</f>
        <v>20000</v>
      </c>
      <c r="G58" s="55">
        <f>SUM(G59:G60)</f>
        <v>0</v>
      </c>
    </row>
    <row r="59" spans="1:7" x14ac:dyDescent="0.25">
      <c r="A59" s="56" t="s">
        <v>63</v>
      </c>
      <c r="B59" s="20"/>
      <c r="C59" s="5"/>
      <c r="D59" s="5"/>
      <c r="E59" s="5"/>
      <c r="F59" s="5"/>
      <c r="G59" s="6"/>
    </row>
    <row r="60" spans="1:7" x14ac:dyDescent="0.25">
      <c r="A60" s="56" t="s">
        <v>64</v>
      </c>
      <c r="B60" s="20"/>
      <c r="C60" s="5">
        <v>15900</v>
      </c>
      <c r="D60" s="5"/>
      <c r="E60" s="5"/>
      <c r="F60" s="5">
        <v>20000</v>
      </c>
      <c r="G60" s="6"/>
    </row>
    <row r="61" spans="1:7" x14ac:dyDescent="0.25">
      <c r="A61" s="53" t="s">
        <v>65</v>
      </c>
      <c r="B61" s="54"/>
      <c r="C61" s="54">
        <f>SUM(C62:C63)</f>
        <v>0</v>
      </c>
      <c r="D61" s="54">
        <f>SUM(D62:D63)</f>
        <v>0</v>
      </c>
      <c r="E61" s="54">
        <f>SUM(E62:E63)</f>
        <v>0</v>
      </c>
      <c r="F61" s="54">
        <f>SUM(F62:F63)</f>
        <v>0</v>
      </c>
      <c r="G61" s="55">
        <f>SUM(G62:G63)</f>
        <v>0</v>
      </c>
    </row>
    <row r="62" spans="1:7" x14ac:dyDescent="0.25">
      <c r="A62" s="56" t="s">
        <v>63</v>
      </c>
      <c r="B62" s="20"/>
      <c r="C62" s="5"/>
      <c r="D62" s="5"/>
      <c r="E62" s="5"/>
      <c r="F62" s="5"/>
      <c r="G62" s="6"/>
    </row>
    <row r="63" spans="1:7" x14ac:dyDescent="0.25">
      <c r="A63" s="56" t="s">
        <v>64</v>
      </c>
      <c r="B63" s="20"/>
      <c r="C63" s="5"/>
      <c r="D63" s="5"/>
      <c r="E63" s="5"/>
      <c r="F63" s="5"/>
      <c r="G63" s="6"/>
    </row>
    <row r="64" spans="1:7" x14ac:dyDescent="0.25">
      <c r="A64" s="53" t="s">
        <v>66</v>
      </c>
      <c r="B64" s="54"/>
      <c r="C64" s="54">
        <f>SUM(C65:C66)</f>
        <v>0</v>
      </c>
      <c r="D64" s="54">
        <f>SUM(D65:D66)</f>
        <v>0</v>
      </c>
      <c r="E64" s="54">
        <f>SUM(E65:E66)</f>
        <v>0</v>
      </c>
      <c r="F64" s="54">
        <f>SUM(F65:F66)</f>
        <v>0</v>
      </c>
      <c r="G64" s="55">
        <f>SUM(G65:G66)</f>
        <v>0</v>
      </c>
    </row>
    <row r="65" spans="1:7" x14ac:dyDescent="0.25">
      <c r="A65" s="56" t="s">
        <v>63</v>
      </c>
      <c r="B65" s="20"/>
      <c r="C65" s="5"/>
      <c r="D65" s="5"/>
      <c r="E65" s="5"/>
      <c r="F65" s="5"/>
      <c r="G65" s="6"/>
    </row>
    <row r="66" spans="1:7" x14ac:dyDescent="0.25">
      <c r="A66" s="56" t="s">
        <v>64</v>
      </c>
      <c r="B66" s="20"/>
      <c r="C66" s="5"/>
      <c r="D66" s="5"/>
      <c r="E66" s="5"/>
      <c r="F66" s="5"/>
      <c r="G66" s="6"/>
    </row>
    <row r="67" spans="1:7" x14ac:dyDescent="0.25">
      <c r="A67" s="53" t="s">
        <v>67</v>
      </c>
      <c r="B67" s="54"/>
      <c r="C67" s="54">
        <f>SUM(C68:C69)</f>
        <v>263000</v>
      </c>
      <c r="D67" s="54">
        <f>SUM(D68:D69)</f>
        <v>400000</v>
      </c>
      <c r="E67" s="54">
        <f>SUM(E68:E69)</f>
        <v>320000</v>
      </c>
      <c r="F67" s="54">
        <f>SUM(F68:F69)</f>
        <v>220000</v>
      </c>
      <c r="G67" s="55">
        <f>SUM(G68:G69)</f>
        <v>220000</v>
      </c>
    </row>
    <row r="68" spans="1:7" x14ac:dyDescent="0.25">
      <c r="A68" s="56" t="s">
        <v>63</v>
      </c>
      <c r="B68" s="20"/>
      <c r="C68" s="5">
        <f>21500</f>
        <v>21500</v>
      </c>
      <c r="D68" s="5"/>
      <c r="E68" s="5"/>
      <c r="F68" s="5"/>
      <c r="G68" s="6"/>
    </row>
    <row r="69" spans="1:7" x14ac:dyDescent="0.25">
      <c r="A69" s="56" t="s">
        <v>64</v>
      </c>
      <c r="B69" s="20"/>
      <c r="C69" s="5">
        <f>263000-21500</f>
        <v>241500</v>
      </c>
      <c r="D69" s="5">
        <v>400000</v>
      </c>
      <c r="E69" s="102">
        <f>220000+100000</f>
        <v>320000</v>
      </c>
      <c r="F69" s="5">
        <v>220000</v>
      </c>
      <c r="G69" s="6">
        <v>220000</v>
      </c>
    </row>
    <row r="70" spans="1:7" x14ac:dyDescent="0.25">
      <c r="A70" s="53" t="s">
        <v>68</v>
      </c>
      <c r="B70" s="20"/>
      <c r="C70" s="54">
        <f>SUM(C71:C72)</f>
        <v>0</v>
      </c>
      <c r="D70" s="54">
        <f>SUM(D71:D72)</f>
        <v>0</v>
      </c>
      <c r="E70" s="54">
        <f>SUM(E71:E72)</f>
        <v>0</v>
      </c>
      <c r="F70" s="54">
        <f>SUM(F71:F72)</f>
        <v>0</v>
      </c>
      <c r="G70" s="55">
        <f>SUM(G71:G72)</f>
        <v>0</v>
      </c>
    </row>
    <row r="71" spans="1:7" x14ac:dyDescent="0.25">
      <c r="A71" s="56" t="s">
        <v>63</v>
      </c>
      <c r="B71" s="20"/>
      <c r="C71" s="5"/>
      <c r="D71" s="5"/>
      <c r="E71" s="5"/>
      <c r="F71" s="5"/>
      <c r="G71" s="6"/>
    </row>
    <row r="72" spans="1:7" x14ac:dyDescent="0.25">
      <c r="A72" s="56" t="s">
        <v>64</v>
      </c>
      <c r="B72" s="20"/>
      <c r="C72" s="5"/>
      <c r="D72" s="5"/>
      <c r="E72" s="5"/>
      <c r="F72" s="5"/>
      <c r="G72" s="6"/>
    </row>
    <row r="73" spans="1:7" x14ac:dyDescent="0.25">
      <c r="A73" s="53" t="s">
        <v>69</v>
      </c>
      <c r="B73" s="20"/>
      <c r="C73" s="54">
        <f>SUM(C74:C75)</f>
        <v>10000</v>
      </c>
      <c r="D73" s="54">
        <f>SUM(D74:D75)</f>
        <v>10000</v>
      </c>
      <c r="E73" s="54">
        <f>SUM(E74:E75)</f>
        <v>10000</v>
      </c>
      <c r="F73" s="54">
        <f>SUM(F74:F75)</f>
        <v>10000</v>
      </c>
      <c r="G73" s="55">
        <f>SUM(G74:G75)</f>
        <v>10000</v>
      </c>
    </row>
    <row r="74" spans="1:7" x14ac:dyDescent="0.25">
      <c r="A74" s="56" t="s">
        <v>63</v>
      </c>
      <c r="B74" s="20"/>
      <c r="C74" s="5"/>
      <c r="D74" s="5"/>
      <c r="E74" s="5"/>
      <c r="F74" s="5"/>
      <c r="G74" s="6"/>
    </row>
    <row r="75" spans="1:7" x14ac:dyDescent="0.25">
      <c r="A75" s="56" t="s">
        <v>64</v>
      </c>
      <c r="B75" s="20"/>
      <c r="C75" s="5">
        <v>10000</v>
      </c>
      <c r="D75" s="5">
        <f>10000</f>
        <v>10000</v>
      </c>
      <c r="E75" s="5">
        <v>10000</v>
      </c>
      <c r="F75" s="5">
        <v>10000</v>
      </c>
      <c r="G75" s="5">
        <f>10000</f>
        <v>10000</v>
      </c>
    </row>
    <row r="76" spans="1:7" x14ac:dyDescent="0.25">
      <c r="A76" s="53" t="s">
        <v>70</v>
      </c>
      <c r="B76" s="20"/>
      <c r="C76" s="54">
        <f>SUM(C77:C78)</f>
        <v>0</v>
      </c>
      <c r="D76" s="54">
        <f>SUM(D77:D78)</f>
        <v>0</v>
      </c>
      <c r="E76" s="54">
        <f>SUM(E77:E78)</f>
        <v>0</v>
      </c>
      <c r="F76" s="54">
        <f>SUM(F77:F78)</f>
        <v>0</v>
      </c>
      <c r="G76" s="55">
        <f>SUM(G77:G78)</f>
        <v>0</v>
      </c>
    </row>
    <row r="77" spans="1:7" x14ac:dyDescent="0.25">
      <c r="A77" s="56" t="s">
        <v>63</v>
      </c>
      <c r="B77" s="20"/>
      <c r="C77" s="5"/>
      <c r="D77" s="5"/>
      <c r="E77" s="5"/>
      <c r="F77" s="5"/>
      <c r="G77" s="6"/>
    </row>
    <row r="78" spans="1:7" x14ac:dyDescent="0.25">
      <c r="A78" s="56" t="s">
        <v>64</v>
      </c>
      <c r="B78" s="20"/>
      <c r="C78" s="5"/>
      <c r="D78" s="5"/>
      <c r="E78" s="5"/>
      <c r="F78" s="5"/>
      <c r="G78" s="6"/>
    </row>
    <row r="79" spans="1:7" x14ac:dyDescent="0.25">
      <c r="A79" s="53" t="s">
        <v>71</v>
      </c>
      <c r="B79" s="20"/>
      <c r="C79" s="54">
        <f>SUM(C80:C81)</f>
        <v>60000</v>
      </c>
      <c r="D79" s="54">
        <f>SUM(D80:D81)</f>
        <v>0</v>
      </c>
      <c r="E79" s="54">
        <f>SUM(E80:E81)</f>
        <v>0</v>
      </c>
      <c r="F79" s="54">
        <f>SUM(F80:F81)</f>
        <v>0</v>
      </c>
      <c r="G79" s="55">
        <f>SUM(G80:G81)</f>
        <v>2030000</v>
      </c>
    </row>
    <row r="80" spans="1:7" x14ac:dyDescent="0.25">
      <c r="A80" s="56" t="s">
        <v>63</v>
      </c>
      <c r="B80" s="20"/>
      <c r="C80" s="5"/>
      <c r="D80" s="5"/>
      <c r="E80" s="5"/>
      <c r="F80" s="5"/>
      <c r="G80" s="6">
        <v>1180000</v>
      </c>
    </row>
    <row r="81" spans="1:7" x14ac:dyDescent="0.25">
      <c r="A81" s="56" t="s">
        <v>64</v>
      </c>
      <c r="B81" s="20"/>
      <c r="C81" s="5">
        <v>60000</v>
      </c>
      <c r="D81" s="5"/>
      <c r="E81" s="5"/>
      <c r="F81" s="5"/>
      <c r="G81" s="6">
        <v>850000</v>
      </c>
    </row>
    <row r="82" spans="1:7" x14ac:dyDescent="0.25">
      <c r="A82" s="53" t="s">
        <v>72</v>
      </c>
      <c r="B82" s="20"/>
      <c r="C82" s="54">
        <f>SUM(C83:C84)</f>
        <v>1032600</v>
      </c>
      <c r="D82" s="54">
        <f>SUM(D83:D84)</f>
        <v>4259838.07</v>
      </c>
      <c r="E82" s="103">
        <f>SUM(E83:E84)</f>
        <v>1704000</v>
      </c>
      <c r="F82" s="103">
        <f>SUM(F83:F84)</f>
        <v>732400</v>
      </c>
      <c r="G82" s="55">
        <f>SUM(G83:G84)</f>
        <v>1000000</v>
      </c>
    </row>
    <row r="83" spans="1:7" x14ac:dyDescent="0.25">
      <c r="A83" s="56" t="s">
        <v>63</v>
      </c>
      <c r="B83" s="20"/>
      <c r="C83" s="5">
        <v>514000</v>
      </c>
      <c r="D83" s="5">
        <f>1649838.07+590000</f>
        <v>2239838.0700000003</v>
      </c>
      <c r="E83" s="5">
        <f>590000</f>
        <v>590000</v>
      </c>
      <c r="F83" s="5"/>
      <c r="G83" s="6"/>
    </row>
    <row r="84" spans="1:7" x14ac:dyDescent="0.25">
      <c r="A84" s="56" t="s">
        <v>64</v>
      </c>
      <c r="B84" s="20"/>
      <c r="C84" s="5">
        <f>1032600-514000</f>
        <v>518600</v>
      </c>
      <c r="D84" s="5">
        <f>2000000+20000</f>
        <v>2020000</v>
      </c>
      <c r="E84" s="102">
        <f>1214000-100000</f>
        <v>1114000</v>
      </c>
      <c r="F84" s="5">
        <f>500000+232400</f>
        <v>732400</v>
      </c>
      <c r="G84" s="6">
        <f>1000000</f>
        <v>1000000</v>
      </c>
    </row>
    <row r="85" spans="1:7" x14ac:dyDescent="0.25">
      <c r="A85" s="53" t="s">
        <v>73</v>
      </c>
      <c r="B85" s="54"/>
      <c r="C85" s="54">
        <f>SUM(C86:C87)</f>
        <v>0</v>
      </c>
      <c r="D85" s="54">
        <f>SUM(D86:D87)</f>
        <v>0</v>
      </c>
      <c r="E85" s="54">
        <f>SUM(E86:E87)</f>
        <v>0</v>
      </c>
      <c r="F85" s="54">
        <f>SUM(F86:F87)</f>
        <v>0</v>
      </c>
      <c r="G85" s="55">
        <f>SUM(G86:G87)</f>
        <v>0</v>
      </c>
    </row>
    <row r="86" spans="1:7" x14ac:dyDescent="0.25">
      <c r="A86" s="56" t="s">
        <v>63</v>
      </c>
      <c r="B86" s="20"/>
      <c r="C86" s="5"/>
      <c r="D86" s="5"/>
      <c r="E86" s="5"/>
      <c r="F86" s="5"/>
      <c r="G86" s="6"/>
    </row>
    <row r="87" spans="1:7" x14ac:dyDescent="0.25">
      <c r="A87" s="56" t="s">
        <v>64</v>
      </c>
      <c r="B87" s="20"/>
      <c r="C87" s="5"/>
      <c r="D87" s="5"/>
      <c r="E87" s="5"/>
      <c r="F87" s="5"/>
      <c r="G87" s="6"/>
    </row>
    <row r="88" spans="1:7" x14ac:dyDescent="0.25">
      <c r="A88" s="57" t="s">
        <v>74</v>
      </c>
      <c r="B88" s="58"/>
      <c r="C88" s="58">
        <f>SUM(C89:C90)</f>
        <v>1381500</v>
      </c>
      <c r="D88" s="58">
        <f>SUM(D89:D90)</f>
        <v>4669838.07</v>
      </c>
      <c r="E88" s="58">
        <f>SUM(E89:E90)</f>
        <v>2034000</v>
      </c>
      <c r="F88" s="58">
        <f>SUM(F89:F90)</f>
        <v>982400</v>
      </c>
      <c r="G88" s="59">
        <f>SUM(G89:G90)</f>
        <v>3260000</v>
      </c>
    </row>
    <row r="89" spans="1:7" x14ac:dyDescent="0.25">
      <c r="A89" s="56" t="s">
        <v>63</v>
      </c>
      <c r="B89" s="20"/>
      <c r="C89" s="20">
        <f t="shared" ref="C89:G90" si="16">C59+C62+C65+C68+C71+C74+C77+C80+C83+C86</f>
        <v>535500</v>
      </c>
      <c r="D89" s="20">
        <f t="shared" si="16"/>
        <v>2239838.0700000003</v>
      </c>
      <c r="E89" s="20">
        <f t="shared" si="16"/>
        <v>590000</v>
      </c>
      <c r="F89" s="20">
        <f t="shared" si="16"/>
        <v>0</v>
      </c>
      <c r="G89" s="39">
        <f t="shared" si="16"/>
        <v>1180000</v>
      </c>
    </row>
    <row r="90" spans="1:7" ht="15.75" thickBot="1" x14ac:dyDescent="0.3">
      <c r="A90" s="60" t="s">
        <v>64</v>
      </c>
      <c r="B90" s="61"/>
      <c r="C90" s="62">
        <f t="shared" si="16"/>
        <v>846000</v>
      </c>
      <c r="D90" s="62">
        <f t="shared" si="16"/>
        <v>2430000</v>
      </c>
      <c r="E90" s="62">
        <f t="shared" si="16"/>
        <v>1444000</v>
      </c>
      <c r="F90" s="62">
        <f t="shared" si="16"/>
        <v>982400</v>
      </c>
      <c r="G90" s="63">
        <f t="shared" si="16"/>
        <v>2080000</v>
      </c>
    </row>
    <row r="91" spans="1:7" x14ac:dyDescent="0.25">
      <c r="A91" s="64" t="s">
        <v>75</v>
      </c>
      <c r="B91" s="92"/>
      <c r="C91" s="65">
        <f>C23+C88</f>
        <v>0</v>
      </c>
      <c r="D91" s="65">
        <f>D23+D88</f>
        <v>0</v>
      </c>
      <c r="E91" s="65">
        <f>E23+E88</f>
        <v>0</v>
      </c>
      <c r="F91" s="65">
        <f>F23+F88</f>
        <v>0</v>
      </c>
      <c r="G91" s="65">
        <f>G23+G88</f>
        <v>0</v>
      </c>
    </row>
    <row r="92" spans="1:7" x14ac:dyDescent="0.25">
      <c r="A92" s="92"/>
      <c r="B92" s="92"/>
      <c r="C92" s="92"/>
      <c r="D92" s="92"/>
      <c r="E92" s="92"/>
      <c r="F92" s="92"/>
      <c r="G92" s="92"/>
    </row>
    <row r="93" spans="1:7" x14ac:dyDescent="0.25">
      <c r="A93" s="66" t="s">
        <v>76</v>
      </c>
      <c r="B93" s="96"/>
      <c r="C93" s="96"/>
      <c r="D93" s="96"/>
      <c r="E93" s="96"/>
      <c r="F93" s="96"/>
      <c r="G93" s="92"/>
    </row>
    <row r="94" spans="1:7" x14ac:dyDescent="0.25">
      <c r="A94" s="53" t="s">
        <v>77</v>
      </c>
      <c r="B94" s="105"/>
      <c r="C94" s="104">
        <f>SUM(C95:C96)</f>
        <v>985000</v>
      </c>
      <c r="D94" s="104">
        <f>SUM(D95:D96)</f>
        <v>4239838.07</v>
      </c>
      <c r="E94" s="104">
        <f>SUM(E95:E96)</f>
        <v>1704000</v>
      </c>
      <c r="F94" s="104">
        <f>SUM(F95:F96)</f>
        <v>732400</v>
      </c>
      <c r="G94" s="106">
        <f>SUM(G95:G96)</f>
        <v>0</v>
      </c>
    </row>
    <row r="95" spans="1:7" x14ac:dyDescent="0.25">
      <c r="A95" s="56" t="s">
        <v>63</v>
      </c>
      <c r="B95" s="94"/>
      <c r="C95" s="5">
        <v>514000</v>
      </c>
      <c r="D95" s="95">
        <f>1649838.07+590000</f>
        <v>2239838.0700000003</v>
      </c>
      <c r="E95" s="95">
        <v>590000</v>
      </c>
      <c r="F95" s="95"/>
      <c r="G95" s="95"/>
    </row>
    <row r="96" spans="1:7" x14ac:dyDescent="0.25">
      <c r="A96" s="56" t="s">
        <v>64</v>
      </c>
      <c r="B96" s="94"/>
      <c r="C96" s="95">
        <v>471000</v>
      </c>
      <c r="D96" s="95">
        <v>2000000</v>
      </c>
      <c r="E96" s="100">
        <f>604000+410000+200000-100000</f>
        <v>1114000</v>
      </c>
      <c r="F96" s="95">
        <v>732400</v>
      </c>
      <c r="G96" s="95"/>
    </row>
    <row r="97" spans="1:7" x14ac:dyDescent="0.25">
      <c r="A97" s="53" t="s">
        <v>78</v>
      </c>
      <c r="B97" s="105"/>
      <c r="C97" s="104">
        <f>SUM(C98:C99)</f>
        <v>0</v>
      </c>
      <c r="D97" s="104">
        <f>SUM(D98:D99)</f>
        <v>80000</v>
      </c>
      <c r="E97" s="104">
        <f>SUM(E98:E99)</f>
        <v>100000</v>
      </c>
      <c r="F97" s="104">
        <f>SUM(F98:F99)</f>
        <v>0</v>
      </c>
      <c r="G97" s="106">
        <f>SUM(G98:G99)</f>
        <v>0</v>
      </c>
    </row>
    <row r="98" spans="1:7" x14ac:dyDescent="0.25">
      <c r="A98" s="56" t="s">
        <v>63</v>
      </c>
      <c r="B98" s="94"/>
      <c r="C98" s="95"/>
      <c r="D98" s="100"/>
      <c r="E98" s="100"/>
      <c r="F98" s="95"/>
      <c r="G98" s="95"/>
    </row>
    <row r="99" spans="1:7" x14ac:dyDescent="0.25">
      <c r="A99" s="56" t="s">
        <v>64</v>
      </c>
      <c r="B99" s="94"/>
      <c r="C99" s="95"/>
      <c r="D99" s="100">
        <v>80000</v>
      </c>
      <c r="E99" s="100">
        <v>100000</v>
      </c>
      <c r="F99" s="95"/>
      <c r="G99" s="95"/>
    </row>
    <row r="100" spans="1:7" x14ac:dyDescent="0.25">
      <c r="A100" s="99" t="s">
        <v>84</v>
      </c>
      <c r="B100" s="94"/>
      <c r="C100" s="98">
        <f>SUM(C101:C102)</f>
        <v>0</v>
      </c>
      <c r="D100" s="101">
        <f t="shared" ref="D100:G100" si="17">SUM(D101:D102)</f>
        <v>100000</v>
      </c>
      <c r="E100" s="101">
        <f t="shared" si="17"/>
        <v>0</v>
      </c>
      <c r="F100" s="98">
        <f t="shared" si="17"/>
        <v>0</v>
      </c>
      <c r="G100" s="98">
        <f t="shared" si="17"/>
        <v>0</v>
      </c>
    </row>
    <row r="101" spans="1:7" x14ac:dyDescent="0.25">
      <c r="A101" s="56" t="s">
        <v>63</v>
      </c>
      <c r="B101" s="94"/>
      <c r="C101" s="95"/>
      <c r="D101" s="100"/>
      <c r="E101" s="100"/>
      <c r="F101" s="95"/>
      <c r="G101" s="97"/>
    </row>
    <row r="102" spans="1:7" x14ac:dyDescent="0.25">
      <c r="A102" s="56" t="s">
        <v>64</v>
      </c>
      <c r="B102" s="94"/>
      <c r="C102" s="95"/>
      <c r="D102" s="100">
        <v>100000</v>
      </c>
      <c r="E102" s="100"/>
      <c r="F102" s="95"/>
      <c r="G102" s="97"/>
    </row>
    <row r="103" spans="1:7" x14ac:dyDescent="0.25">
      <c r="A103" s="53" t="s">
        <v>79</v>
      </c>
      <c r="B103" s="94"/>
      <c r="C103" s="54">
        <f>SUM(C104:C105)</f>
        <v>28600</v>
      </c>
      <c r="D103" s="54">
        <f>SUM(D104:D105)</f>
        <v>0</v>
      </c>
      <c r="E103" s="54">
        <f>SUM(E104:E105)</f>
        <v>0</v>
      </c>
      <c r="F103" s="54">
        <f>SUM(F104:F105)</f>
        <v>0</v>
      </c>
      <c r="G103" s="55">
        <f>SUM(G104:G105)</f>
        <v>1000000</v>
      </c>
    </row>
    <row r="104" spans="1:7" x14ac:dyDescent="0.25">
      <c r="A104" s="56" t="s">
        <v>63</v>
      </c>
      <c r="B104" s="94"/>
      <c r="C104" s="95">
        <v>0</v>
      </c>
      <c r="D104" s="95"/>
      <c r="E104" s="95"/>
      <c r="F104" s="95"/>
      <c r="G104" s="95"/>
    </row>
    <row r="105" spans="1:7" x14ac:dyDescent="0.25">
      <c r="A105" s="56" t="s">
        <v>64</v>
      </c>
      <c r="B105" s="94"/>
      <c r="C105" s="95">
        <v>28600</v>
      </c>
      <c r="D105" s="95"/>
      <c r="E105" s="95"/>
      <c r="F105" s="95"/>
      <c r="G105" s="95">
        <v>1000000</v>
      </c>
    </row>
    <row r="106" spans="1:7" x14ac:dyDescent="0.25">
      <c r="A106" s="53" t="s">
        <v>85</v>
      </c>
      <c r="B106" s="94"/>
      <c r="C106" s="54">
        <f>SUM(C107:C108)</f>
        <v>19000</v>
      </c>
      <c r="D106" s="54">
        <f>SUM(D107:D108)</f>
        <v>0</v>
      </c>
      <c r="E106" s="54">
        <f>SUM(E107:E108)</f>
        <v>0</v>
      </c>
      <c r="F106" s="54">
        <f>SUM(F107:F108)</f>
        <v>0</v>
      </c>
      <c r="G106" s="55">
        <f>SUM(G107:G108)</f>
        <v>0</v>
      </c>
    </row>
    <row r="107" spans="1:7" x14ac:dyDescent="0.25">
      <c r="A107" s="56" t="s">
        <v>63</v>
      </c>
      <c r="B107" s="94"/>
      <c r="C107" s="5">
        <v>0</v>
      </c>
      <c r="D107" s="95"/>
      <c r="E107" s="95"/>
      <c r="F107" s="95"/>
      <c r="G107" s="95"/>
    </row>
    <row r="108" spans="1:7" x14ac:dyDescent="0.25">
      <c r="A108" s="56" t="s">
        <v>64</v>
      </c>
      <c r="B108" s="94"/>
      <c r="C108" s="95">
        <v>19000</v>
      </c>
      <c r="D108" s="95"/>
      <c r="E108" s="95"/>
      <c r="F108" s="95"/>
      <c r="G108" s="95"/>
    </row>
    <row r="109" spans="1:7" x14ac:dyDescent="0.25">
      <c r="A109" s="53" t="s">
        <v>80</v>
      </c>
      <c r="B109" s="94"/>
      <c r="C109" s="54">
        <f>SUM(C110:C111)</f>
        <v>0</v>
      </c>
      <c r="D109" s="54">
        <f>SUM(D110:D111)</f>
        <v>0</v>
      </c>
      <c r="E109" s="54">
        <f>SUM(E110:E111)</f>
        <v>0</v>
      </c>
      <c r="F109" s="54">
        <f>SUM(F110:F111)</f>
        <v>0</v>
      </c>
      <c r="G109" s="55">
        <f>SUM(G110:G111)</f>
        <v>2000000</v>
      </c>
    </row>
    <row r="110" spans="1:7" x14ac:dyDescent="0.25">
      <c r="A110" s="56" t="s">
        <v>63</v>
      </c>
      <c r="B110" s="94"/>
      <c r="C110" s="95"/>
      <c r="D110" s="95"/>
      <c r="E110" s="95"/>
      <c r="F110" s="95"/>
      <c r="G110" s="95">
        <v>1180000</v>
      </c>
    </row>
    <row r="111" spans="1:7" x14ac:dyDescent="0.25">
      <c r="A111" s="56" t="s">
        <v>64</v>
      </c>
      <c r="B111" s="94"/>
      <c r="C111" s="95"/>
      <c r="D111" s="95"/>
      <c r="E111" s="95"/>
      <c r="F111" s="95"/>
      <c r="G111" s="95">
        <v>820000</v>
      </c>
    </row>
    <row r="112" spans="1:7" x14ac:dyDescent="0.25">
      <c r="A112" s="53" t="s">
        <v>81</v>
      </c>
      <c r="B112" s="94"/>
      <c r="C112" s="54">
        <f>SUM(C113:C114)</f>
        <v>0</v>
      </c>
      <c r="D112" s="54">
        <f>SUM(D113:D114)</f>
        <v>0</v>
      </c>
      <c r="E112" s="54">
        <f>SUM(E113:E114)</f>
        <v>0</v>
      </c>
      <c r="F112" s="54">
        <f>SUM(F113:F114)</f>
        <v>0</v>
      </c>
      <c r="G112" s="55">
        <f>SUM(G113:G114)</f>
        <v>30000</v>
      </c>
    </row>
    <row r="113" spans="1:7" x14ac:dyDescent="0.25">
      <c r="A113" s="56" t="s">
        <v>63</v>
      </c>
      <c r="B113" s="94"/>
      <c r="C113" s="95"/>
      <c r="D113" s="95"/>
      <c r="E113" s="95"/>
      <c r="F113" s="95"/>
      <c r="G113" s="95"/>
    </row>
    <row r="114" spans="1:7" x14ac:dyDescent="0.25">
      <c r="A114" s="56" t="s">
        <v>64</v>
      </c>
      <c r="B114" s="94"/>
      <c r="C114" s="95"/>
      <c r="D114" s="95"/>
      <c r="E114" s="95"/>
      <c r="F114" s="95"/>
      <c r="G114" s="95">
        <v>30000</v>
      </c>
    </row>
    <row r="115" spans="1:7" x14ac:dyDescent="0.25">
      <c r="A115" s="53" t="s">
        <v>82</v>
      </c>
      <c r="B115" s="94"/>
      <c r="C115" s="54">
        <f>SUM(C116:C117)</f>
        <v>0</v>
      </c>
      <c r="D115" s="54">
        <f>SUM(D116:D117)</f>
        <v>20000</v>
      </c>
      <c r="E115" s="54">
        <f>SUM(E116:E117)</f>
        <v>0</v>
      </c>
      <c r="F115" s="54">
        <f>SUM(F116:F117)</f>
        <v>0</v>
      </c>
      <c r="G115" s="55">
        <f>SUM(G116:G117)</f>
        <v>0</v>
      </c>
    </row>
    <row r="116" spans="1:7" x14ac:dyDescent="0.25">
      <c r="A116" s="56" t="s">
        <v>63</v>
      </c>
      <c r="B116" s="94"/>
      <c r="C116" s="95"/>
      <c r="D116" s="95"/>
      <c r="E116" s="95"/>
      <c r="F116" s="95"/>
      <c r="G116" s="95"/>
    </row>
    <row r="117" spans="1:7" x14ac:dyDescent="0.25">
      <c r="A117" s="56" t="s">
        <v>64</v>
      </c>
      <c r="B117" s="94"/>
      <c r="C117" s="95"/>
      <c r="D117" s="95">
        <v>20000</v>
      </c>
      <c r="E117" s="95"/>
      <c r="F117" s="95"/>
      <c r="G117" s="95"/>
    </row>
    <row r="118" spans="1:7" x14ac:dyDescent="0.25">
      <c r="A118" s="53" t="s">
        <v>83</v>
      </c>
      <c r="B118" s="94"/>
      <c r="C118" s="54">
        <f>SUM(C119:C120)</f>
        <v>0</v>
      </c>
      <c r="D118" s="54">
        <f>SUM(D119:D120)</f>
        <v>0</v>
      </c>
      <c r="E118" s="54">
        <f>SUM(E119:E120)</f>
        <v>0</v>
      </c>
      <c r="F118" s="54">
        <f>SUM(F119:F120)</f>
        <v>20000</v>
      </c>
      <c r="G118" s="55">
        <f>SUM(G119:G120)</f>
        <v>0</v>
      </c>
    </row>
    <row r="119" spans="1:7" x14ac:dyDescent="0.25">
      <c r="A119" s="56" t="s">
        <v>63</v>
      </c>
      <c r="B119" s="94"/>
      <c r="C119" s="95"/>
      <c r="D119" s="95"/>
      <c r="E119" s="95"/>
      <c r="F119" s="95"/>
      <c r="G119" s="95"/>
    </row>
    <row r="120" spans="1:7" x14ac:dyDescent="0.25">
      <c r="A120" s="56" t="s">
        <v>64</v>
      </c>
      <c r="B120" s="94"/>
      <c r="C120" s="95"/>
      <c r="D120" s="95"/>
      <c r="E120" s="95"/>
      <c r="F120" s="95">
        <v>20000</v>
      </c>
      <c r="G120" s="95"/>
    </row>
  </sheetData>
  <conditionalFormatting sqref="B49:G49">
    <cfRule type="cellIs" dxfId="1" priority="4" stopIfTrue="1" operator="lessThan">
      <formula>0</formula>
    </cfRule>
  </conditionalFormatting>
  <conditionalFormatting sqref="C20:G20">
    <cfRule type="cellIs" dxfId="0" priority="1" stopIfTrue="1" operator="lessThan">
      <formula>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Leht1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 Korotejev-Piir</dc:creator>
  <cp:lastModifiedBy>Rihti Väinsar</cp:lastModifiedBy>
  <dcterms:created xsi:type="dcterms:W3CDTF">2024-09-10T09:17:15Z</dcterms:created>
  <dcterms:modified xsi:type="dcterms:W3CDTF">2024-10-24T07:49:19Z</dcterms:modified>
</cp:coreProperties>
</file>