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usaluvallavalitsus-my.sharepoint.com/personal/pirge_paju_kuusalu_ee/Documents/Töölaud/Pirge Paju/Volikogu/Volikogu oktoober 2026/"/>
    </mc:Choice>
  </mc:AlternateContent>
  <xr:revisionPtr revIDLastSave="15" documentId="8_{76185C93-B0CA-4D1D-BB43-EA8D60FBE605}" xr6:coauthVersionLast="47" xr6:coauthVersionMax="47" xr10:uidLastSave="{53C6E71A-B5FA-4B47-BDC4-E77B08C46FDE}"/>
  <bookViews>
    <workbookView xWindow="-110" yWindow="-110" windowWidth="19420" windowHeight="11500" xr2:uid="{07C0E322-CAEB-40E7-B71B-6CF08EC24A44}"/>
  </bookViews>
  <sheets>
    <sheet name="Strateegia vorm KOV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3" i="1" l="1"/>
  <c r="G106" i="1"/>
  <c r="F106" i="1"/>
  <c r="E106" i="1"/>
  <c r="D106" i="1"/>
  <c r="C106" i="1"/>
  <c r="G103" i="1"/>
  <c r="F103" i="1"/>
  <c r="E103" i="1"/>
  <c r="C103" i="1"/>
  <c r="G100" i="1"/>
  <c r="F100" i="1"/>
  <c r="E100" i="1"/>
  <c r="D100" i="1"/>
  <c r="C100" i="1"/>
  <c r="G97" i="1"/>
  <c r="F97" i="1"/>
  <c r="E97" i="1"/>
  <c r="D97" i="1"/>
  <c r="C97" i="1"/>
  <c r="G94" i="1"/>
  <c r="F94" i="1"/>
  <c r="E94" i="1"/>
  <c r="D94" i="1"/>
  <c r="C94" i="1"/>
  <c r="G90" i="1"/>
  <c r="G24" i="1" s="1"/>
  <c r="G52" i="1" s="1"/>
  <c r="E90" i="1"/>
  <c r="E24" i="1" s="1"/>
  <c r="E52" i="1" s="1"/>
  <c r="G89" i="1"/>
  <c r="G25" i="1" s="1"/>
  <c r="F89" i="1"/>
  <c r="F25" i="1" s="1"/>
  <c r="E89" i="1"/>
  <c r="E25" i="1" s="1"/>
  <c r="D89" i="1"/>
  <c r="G85" i="1"/>
  <c r="F85" i="1"/>
  <c r="E85" i="1"/>
  <c r="D85" i="1"/>
  <c r="C85" i="1"/>
  <c r="F84" i="1"/>
  <c r="F90" i="1" s="1"/>
  <c r="D84" i="1"/>
  <c r="D82" i="1" s="1"/>
  <c r="C84" i="1"/>
  <c r="C82" i="1" s="1"/>
  <c r="G82" i="1"/>
  <c r="E82" i="1"/>
  <c r="D81" i="1"/>
  <c r="G79" i="1"/>
  <c r="F79" i="1"/>
  <c r="E79" i="1"/>
  <c r="D79" i="1"/>
  <c r="C79" i="1"/>
  <c r="G76" i="1"/>
  <c r="F76" i="1"/>
  <c r="E76" i="1"/>
  <c r="D76" i="1"/>
  <c r="C76" i="1"/>
  <c r="D75" i="1"/>
  <c r="D73" i="1" s="1"/>
  <c r="G73" i="1"/>
  <c r="F73" i="1"/>
  <c r="E73" i="1"/>
  <c r="C73" i="1"/>
  <c r="G70" i="1"/>
  <c r="F70" i="1"/>
  <c r="E70" i="1"/>
  <c r="D70" i="1"/>
  <c r="C70" i="1"/>
  <c r="D69" i="1"/>
  <c r="D67" i="1" s="1"/>
  <c r="C69" i="1"/>
  <c r="C68" i="1"/>
  <c r="C67" i="1" s="1"/>
  <c r="G67" i="1"/>
  <c r="F67" i="1"/>
  <c r="E67" i="1"/>
  <c r="G64" i="1"/>
  <c r="F64" i="1"/>
  <c r="E64" i="1"/>
  <c r="D64" i="1"/>
  <c r="C64" i="1"/>
  <c r="G61" i="1"/>
  <c r="F61" i="1"/>
  <c r="E61" i="1"/>
  <c r="D61" i="1"/>
  <c r="C61" i="1"/>
  <c r="G58" i="1"/>
  <c r="F58" i="1"/>
  <c r="E58" i="1"/>
  <c r="D58" i="1"/>
  <c r="C58" i="1"/>
  <c r="C44" i="1"/>
  <c r="B44" i="1"/>
  <c r="C43" i="1"/>
  <c r="D43" i="1" s="1"/>
  <c r="E43" i="1" s="1"/>
  <c r="F43" i="1" s="1"/>
  <c r="G43" i="1" s="1"/>
  <c r="B42" i="1"/>
  <c r="B41" i="1"/>
  <c r="G38" i="1"/>
  <c r="F38" i="1"/>
  <c r="E38" i="1"/>
  <c r="D38" i="1"/>
  <c r="C38" i="1"/>
  <c r="B38" i="1"/>
  <c r="C37" i="1"/>
  <c r="B37" i="1"/>
  <c r="C36" i="1"/>
  <c r="B36" i="1"/>
  <c r="C35" i="1"/>
  <c r="B35" i="1"/>
  <c r="G34" i="1"/>
  <c r="F34" i="1"/>
  <c r="E34" i="1"/>
  <c r="D34" i="1"/>
  <c r="C32" i="1"/>
  <c r="B32" i="1"/>
  <c r="C31" i="1"/>
  <c r="B31" i="1"/>
  <c r="C30" i="1"/>
  <c r="B30" i="1"/>
  <c r="C29" i="1"/>
  <c r="B29" i="1"/>
  <c r="C28" i="1"/>
  <c r="B28" i="1"/>
  <c r="C27" i="1"/>
  <c r="B27" i="1"/>
  <c r="D26" i="1"/>
  <c r="C26" i="1"/>
  <c r="B26" i="1"/>
  <c r="C25" i="1"/>
  <c r="B25" i="1"/>
  <c r="C23" i="1"/>
  <c r="B23" i="1"/>
  <c r="B24" i="1" s="1"/>
  <c r="B52" i="1" s="1"/>
  <c r="C22" i="1"/>
  <c r="B22" i="1"/>
  <c r="C19" i="1"/>
  <c r="B19" i="1"/>
  <c r="C17" i="1"/>
  <c r="B17" i="1"/>
  <c r="G16" i="1"/>
  <c r="F16" i="1"/>
  <c r="E16" i="1"/>
  <c r="E15" i="1" s="1"/>
  <c r="E13" i="1" s="1"/>
  <c r="D16" i="1"/>
  <c r="D15" i="1" s="1"/>
  <c r="D13" i="1" s="1"/>
  <c r="C16" i="1"/>
  <c r="B16" i="1"/>
  <c r="G15" i="1"/>
  <c r="G13" i="1" s="1"/>
  <c r="F15" i="1"/>
  <c r="F13" i="1" s="1"/>
  <c r="C14" i="1"/>
  <c r="B14" i="1"/>
  <c r="C12" i="1"/>
  <c r="B12" i="1"/>
  <c r="C11" i="1"/>
  <c r="B11" i="1"/>
  <c r="G10" i="1"/>
  <c r="F10" i="1"/>
  <c r="E10" i="1"/>
  <c r="D10" i="1"/>
  <c r="C10" i="1"/>
  <c r="B10" i="1"/>
  <c r="C9" i="1"/>
  <c r="B9" i="1"/>
  <c r="C7" i="1"/>
  <c r="B7" i="1"/>
  <c r="C6" i="1"/>
  <c r="B6" i="1"/>
  <c r="C5" i="1"/>
  <c r="B5" i="1"/>
  <c r="D4" i="1"/>
  <c r="C4" i="1"/>
  <c r="B4" i="1"/>
  <c r="G3" i="1"/>
  <c r="F3" i="1"/>
  <c r="E3" i="1"/>
  <c r="D3" i="1"/>
  <c r="B15" i="1" l="1"/>
  <c r="B21" i="1"/>
  <c r="C41" i="1"/>
  <c r="C21" i="1"/>
  <c r="B34" i="1"/>
  <c r="C90" i="1"/>
  <c r="C24" i="1" s="1"/>
  <c r="C52" i="1" s="1"/>
  <c r="B8" i="1"/>
  <c r="B45" i="1"/>
  <c r="C34" i="1"/>
  <c r="C42" i="1" s="1"/>
  <c r="E88" i="1"/>
  <c r="E23" i="1" s="1"/>
  <c r="E21" i="1" s="1"/>
  <c r="C15" i="1"/>
  <c r="C13" i="1" s="1"/>
  <c r="D54" i="1" s="1"/>
  <c r="G54" i="1"/>
  <c r="B13" i="1"/>
  <c r="C8" i="1"/>
  <c r="B3" i="1"/>
  <c r="B2" i="1" s="1"/>
  <c r="G88" i="1"/>
  <c r="G23" i="1" s="1"/>
  <c r="G21" i="1" s="1"/>
  <c r="F82" i="1"/>
  <c r="F54" i="1"/>
  <c r="E54" i="1"/>
  <c r="F24" i="1"/>
  <c r="F52" i="1" s="1"/>
  <c r="F88" i="1"/>
  <c r="F23" i="1" s="1"/>
  <c r="C89" i="1"/>
  <c r="C88" i="1" s="1"/>
  <c r="C91" i="1" s="1"/>
  <c r="D8" i="1"/>
  <c r="D2" i="1" s="1"/>
  <c r="E8" i="1"/>
  <c r="E2" i="1" s="1"/>
  <c r="C3" i="1"/>
  <c r="F8" i="1"/>
  <c r="F2" i="1" s="1"/>
  <c r="G8" i="1"/>
  <c r="G2" i="1" s="1"/>
  <c r="D90" i="1"/>
  <c r="D24" i="1" s="1"/>
  <c r="D52" i="1" s="1"/>
  <c r="D25" i="1"/>
  <c r="B20" i="1" l="1"/>
  <c r="B46" i="1"/>
  <c r="C54" i="1"/>
  <c r="C45" i="1"/>
  <c r="D42" i="1"/>
  <c r="B55" i="1"/>
  <c r="G91" i="1"/>
  <c r="E91" i="1"/>
  <c r="C2" i="1"/>
  <c r="C20" i="1" s="1"/>
  <c r="E42" i="1"/>
  <c r="E53" i="1"/>
  <c r="E20" i="1"/>
  <c r="E55" i="1"/>
  <c r="D53" i="1"/>
  <c r="D20" i="1"/>
  <c r="D55" i="1"/>
  <c r="B33" i="1"/>
  <c r="B51" i="1" s="1"/>
  <c r="B47" i="1"/>
  <c r="G20" i="1"/>
  <c r="G53" i="1"/>
  <c r="G55" i="1"/>
  <c r="F20" i="1"/>
  <c r="F53" i="1"/>
  <c r="F55" i="1"/>
  <c r="C55" i="1"/>
  <c r="D88" i="1"/>
  <c r="D23" i="1" s="1"/>
  <c r="F91" i="1"/>
  <c r="F21" i="1"/>
  <c r="C53" i="1" l="1"/>
  <c r="C46" i="1"/>
  <c r="B48" i="1"/>
  <c r="B49" i="1"/>
  <c r="D56" i="1"/>
  <c r="D47" i="1"/>
  <c r="G56" i="1"/>
  <c r="G47" i="1"/>
  <c r="G33" i="1"/>
  <c r="D21" i="1"/>
  <c r="D33" i="1" s="1"/>
  <c r="D91" i="1"/>
  <c r="E47" i="1"/>
  <c r="E33" i="1"/>
  <c r="E56" i="1"/>
  <c r="C47" i="1"/>
  <c r="C33" i="1"/>
  <c r="C51" i="1" s="1"/>
  <c r="F33" i="1"/>
  <c r="F56" i="1"/>
  <c r="F47" i="1"/>
  <c r="F42" i="1"/>
  <c r="D37" i="1" l="1"/>
  <c r="D41" i="1" s="1"/>
  <c r="C49" i="1"/>
  <c r="C48" i="1"/>
  <c r="E37" i="1"/>
  <c r="E51" i="1"/>
  <c r="E48" i="1"/>
  <c r="G37" i="1"/>
  <c r="G51" i="1"/>
  <c r="G48" i="1"/>
  <c r="G42" i="1"/>
  <c r="D48" i="1"/>
  <c r="F48" i="1"/>
  <c r="F37" i="1"/>
  <c r="F51" i="1" s="1"/>
  <c r="D51" i="1" l="1"/>
  <c r="E41" i="1"/>
  <c r="D45" i="1"/>
  <c r="D46" i="1" l="1"/>
  <c r="D49" i="1"/>
  <c r="F41" i="1"/>
  <c r="E45" i="1"/>
  <c r="E46" i="1" l="1"/>
  <c r="E49" i="1"/>
  <c r="G41" i="1"/>
  <c r="G45" i="1" s="1"/>
  <c r="F45" i="1"/>
  <c r="G46" i="1" l="1"/>
  <c r="G49" i="1"/>
  <c r="F46" i="1"/>
  <c r="F4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kersti.sannik</author>
    <author>Ly Korotejev-Piir</author>
    <author>Kersti Sannik</author>
  </authors>
  <commentList>
    <comment ref="A44" authorId="0" shapeId="0" xr:uid="{E4619F63-397E-4121-BC71-A143BBD2B4EB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sildfinantseering</t>
        </r>
      </text>
    </comment>
    <comment ref="A47" authorId="0" shapeId="0" xr:uid="{EA1436EA-E6EE-4BEF-A30D-1DB2D0F12BB8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piirmäär, millest rohkem võlakohustusi võtta ei tohi</t>
        </r>
      </text>
    </comment>
    <comment ref="A48" authorId="0" shapeId="0" xr:uid="{4DF4E7AB-8947-4EB3-BACA-F637732A047B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see on individuaalne piirmäär (%), millest rohkem võlakohustusi võtta ei tohi</t>
        </r>
      </text>
    </comment>
    <comment ref="A52" authorId="0" shapeId="0" xr:uid="{CA0546B6-866F-42C2-8412-3E900B06CC2A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laenu ei tohi rohkem võtta kui investeeringute omaosaluse katteks, osakute soetamiseks ja sihtfini ning laenu andmiseks</t>
        </r>
      </text>
    </comment>
    <comment ref="D81" authorId="1" shapeId="0" xr:uid="{7ACF2A95-12AA-454A-984F-EFDB908A2525}">
      <text>
        <r>
          <rPr>
            <b/>
            <sz val="9"/>
            <color indexed="81"/>
            <rFont val="Segoe UI"/>
            <family val="2"/>
            <charset val="186"/>
          </rPr>
          <t>Ly Korotejev-Piir:</t>
        </r>
        <r>
          <rPr>
            <sz val="9"/>
            <color indexed="81"/>
            <rFont val="Segoe UI"/>
            <family val="2"/>
            <charset val="186"/>
          </rPr>
          <t xml:space="preserve">
Kuusalu RM kütteseade + mänguväljakud 50000.-</t>
        </r>
      </text>
    </comment>
    <comment ref="A93" authorId="0" shapeId="0" xr:uid="{332EE0F9-3A11-4C92-9CC1-21E470C9C18D}">
      <text>
        <r>
          <rPr>
            <b/>
            <sz val="9"/>
            <color indexed="81"/>
            <rFont val="Tahoma"/>
            <family val="2"/>
            <charset val="186"/>
          </rPr>
          <t>kersti.sannik:</t>
        </r>
        <r>
          <rPr>
            <sz val="9"/>
            <color indexed="81"/>
            <rFont val="Tahoma"/>
            <family val="2"/>
            <charset val="186"/>
          </rPr>
          <t xml:space="preserve">
siin võivad olla ka art 4502 alt tehtavad investeeringud</t>
        </r>
      </text>
    </comment>
    <comment ref="B93" authorId="2" shapeId="0" xr:uid="{C1DF84B9-0FD4-4EE4-BB78-CAA4C340077D}">
      <text>
        <r>
          <rPr>
            <b/>
            <sz val="10"/>
            <color indexed="81"/>
            <rFont val="Tahoma"/>
            <family val="2"/>
          </rPr>
          <t>Kersti Sannik:</t>
        </r>
        <r>
          <rPr>
            <sz val="10"/>
            <color indexed="81"/>
            <rFont val="Tahoma"/>
            <family val="2"/>
          </rPr>
          <t xml:space="preserve">
lisada invest liik: hoone, rajatis, trp vahend, inventar, IT </t>
        </r>
      </text>
    </comment>
  </commentList>
</comments>
</file>

<file path=xl/sharedStrings.xml><?xml version="1.0" encoding="utf-8"?>
<sst xmlns="http://schemas.openxmlformats.org/spreadsheetml/2006/main" count="126" uniqueCount="88">
  <si>
    <t>Kuusalu vald</t>
  </si>
  <si>
    <t>2025 täitmine</t>
  </si>
  <si>
    <t>2026 eeldatav täitmine</t>
  </si>
  <si>
    <t>2027 eelarve</t>
  </si>
  <si>
    <t>2028 eelarve</t>
  </si>
  <si>
    <t>2029 eelarve</t>
  </si>
  <si>
    <t>2030 eelarve</t>
  </si>
  <si>
    <t>Põhitegevuse tulud kokku</t>
  </si>
  <si>
    <t xml:space="preserve">     Maksutulud</t>
  </si>
  <si>
    <t xml:space="preserve">          sh tulumaks</t>
  </si>
  <si>
    <t xml:space="preserve">          sh maamaks</t>
  </si>
  <si>
    <t xml:space="preserve">          sh muud maksutulud</t>
  </si>
  <si>
    <t xml:space="preserve">    Tulud kaupade ja teenuste müügist</t>
  </si>
  <si>
    <t xml:space="preserve">    Saadavad toetused tegevuskuludeks</t>
  </si>
  <si>
    <t xml:space="preserve">         sh  tasandusfond </t>
  </si>
  <si>
    <t xml:space="preserve">         sh  toetusfond</t>
  </si>
  <si>
    <t xml:space="preserve">         sh muud saadud toetused tegevuskuludeks</t>
  </si>
  <si>
    <t xml:space="preserve">     Muud tegevustulud</t>
  </si>
  <si>
    <t>Põhitegevuse kulud kokku</t>
  </si>
  <si>
    <t xml:space="preserve">     Antavad toetused tegevuskuludeks</t>
  </si>
  <si>
    <t xml:space="preserve">     Muud tegevuskulud</t>
  </si>
  <si>
    <t xml:space="preserve">          sh personalikulud</t>
  </si>
  <si>
    <t xml:space="preserve">          sh majandamiskulud</t>
  </si>
  <si>
    <r>
      <t xml:space="preserve">             sh alates </t>
    </r>
    <r>
      <rPr>
        <b/>
        <i/>
        <sz val="8"/>
        <rFont val="Arial"/>
        <family val="2"/>
        <charset val="186"/>
      </rPr>
      <t>2012</t>
    </r>
    <r>
      <rPr>
        <i/>
        <sz val="8"/>
        <rFont val="Arial"/>
        <family val="2"/>
        <charset val="186"/>
      </rPr>
      <t xml:space="preserve"> sõlmitud katkestamatud kasutusrendimaksed </t>
    </r>
  </si>
  <si>
    <t xml:space="preserve">          sh muud kulud</t>
  </si>
  <si>
    <t>Põhitegevuse tulem</t>
  </si>
  <si>
    <t>Investeerimistegevus kokku</t>
  </si>
  <si>
    <t xml:space="preserve">    Põhivara müük (+)</t>
  </si>
  <si>
    <t xml:space="preserve">    Põhivara soetus (-)</t>
  </si>
  <si>
    <t xml:space="preserve">         sh projektide omaosalus</t>
  </si>
  <si>
    <t xml:space="preserve">   Põhivara soetuseks saadav sihtfinantseerimine (+)</t>
  </si>
  <si>
    <t xml:space="preserve">   Põhivara soetuseks antav sihtfinantseerimine (-)</t>
  </si>
  <si>
    <t xml:space="preserve">   Osaluste ning muude aktsiate ja osade müük (+)</t>
  </si>
  <si>
    <t xml:space="preserve">   Osaluste ning muude aktsiate ja osade soetus (-)</t>
  </si>
  <si>
    <t xml:space="preserve">   Tagasilaekuvad laenud (+)</t>
  </si>
  <si>
    <t xml:space="preserve">   Antavad laenud (-)</t>
  </si>
  <si>
    <t xml:space="preserve">   Finantstulud (+)</t>
  </si>
  <si>
    <t xml:space="preserve">   Finantskulud (-)</t>
  </si>
  <si>
    <t>Eelarve tulem</t>
  </si>
  <si>
    <t>Finantseerimistegevus</t>
  </si>
  <si>
    <t xml:space="preserve">   Kohustiste võtmine (+)</t>
  </si>
  <si>
    <t xml:space="preserve">   Kohustiste tasumine (-)</t>
  </si>
  <si>
    <t>Likviidsete varade muutus (+ suurenemine, - vähenemine)</t>
  </si>
  <si>
    <t>Nõuete ja kohustiste saldode muutus kokku (+ /-)</t>
  </si>
  <si>
    <t xml:space="preserve">   sh nõuete muutus (- suurenemine/ + vähenemine)</t>
  </si>
  <si>
    <t xml:space="preserve">   sh kohustiste muutus (+ suurenemine/ - vähenemine)</t>
  </si>
  <si>
    <t>Likviidsete varade suunamata jääk aasta lõpuks</t>
  </si>
  <si>
    <t>Võlakohustised kokku aasta lõpu seisuga</t>
  </si>
  <si>
    <t xml:space="preserve">    sh üle 1 a perioodiga mittekatkestatav kasutusrent (konto 913100), sihtfinantseerimise kohustised (konto 253550), saadud ettemaksed (kontogrupp 2038)</t>
  </si>
  <si>
    <t xml:space="preserve">    sh kohustised, mille võrra võib ületada netovõlakoormuse piirmäära</t>
  </si>
  <si>
    <r>
      <t>Netovõlakoormus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</si>
  <si>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r>
      <t>Netovõlakoormus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</si>
  <si>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r>
      <t>Netovõlakoormuse ülemmäär (</t>
    </r>
    <r>
      <rPr>
        <b/>
        <u/>
        <sz val="10"/>
        <rFont val="Arial"/>
        <family val="2"/>
        <charset val="186"/>
      </rPr>
      <t>eurodes</t>
    </r>
    <r>
      <rPr>
        <b/>
        <sz val="10"/>
        <rFont val="Arial"/>
        <family val="2"/>
        <charset val="186"/>
      </rPr>
      <t>)</t>
    </r>
  </si>
  <si>
    <r>
      <t>Netovõlakoormuse individuaalne ülemmäär (</t>
    </r>
    <r>
      <rPr>
        <b/>
        <u/>
        <sz val="10"/>
        <rFont val="Arial"/>
        <family val="2"/>
        <charset val="186"/>
      </rPr>
      <t>%</t>
    </r>
    <r>
      <rPr>
        <b/>
        <sz val="10"/>
        <rFont val="Arial"/>
        <family val="2"/>
        <charset val="186"/>
      </rPr>
      <t>)</t>
    </r>
  </si>
  <si>
    <t>Vaba netovõlakoormus (eurodes)</t>
  </si>
  <si>
    <t>E/a kontroll (tasakaal)</t>
  </si>
  <si>
    <t>Kohustiste võtmise kontroll</t>
  </si>
  <si>
    <t>Põhitegevuse tulude muutus</t>
  </si>
  <si>
    <t>-</t>
  </si>
  <si>
    <t>Põhitegevuse kulude muutus</t>
  </si>
  <si>
    <t>Omafinantseerimise võimekuse näitaja</t>
  </si>
  <si>
    <t>PT tulemi lubatava väärtuse kontroll</t>
  </si>
  <si>
    <t>Investeeringuobjektid* (alati "+" märgiga)</t>
  </si>
  <si>
    <t>01 Üldised valitsussektori teenused</t>
  </si>
  <si>
    <t>sh toetuse arvelt</t>
  </si>
  <si>
    <t>sh muude vahendite arvelt (omaosalus)</t>
  </si>
  <si>
    <t>02 Riigikaitse</t>
  </si>
  <si>
    <t>03 Avalik kord ja julgeolek</t>
  </si>
  <si>
    <t>04 Majandus</t>
  </si>
  <si>
    <t>05 Keskkonnakaitse</t>
  </si>
  <si>
    <t>06 Elamu- ja kommunaalmajandus</t>
  </si>
  <si>
    <t>07 Tervishoid</t>
  </si>
  <si>
    <t>08 Vabaaeg, kultuur ja religioon</t>
  </si>
  <si>
    <t>09 Haridus</t>
  </si>
  <si>
    <t>10 Sotsiaalne kaitse</t>
  </si>
  <si>
    <t>KÕIK KOKKU</t>
  </si>
  <si>
    <t>Põhivara soetuse kontroll</t>
  </si>
  <si>
    <t>Suuremad investeeringud nimeliselt</t>
  </si>
  <si>
    <r>
      <t>Tunnus (hoone, ra-jatis, trp vahend vm</t>
    </r>
    <r>
      <rPr>
        <b/>
        <sz val="9"/>
        <rFont val="Times New Roman"/>
        <family val="1"/>
      </rPr>
      <t>)</t>
    </r>
  </si>
  <si>
    <t>siin võib näidata ka art 4502 alt tehtavad investeeringud</t>
  </si>
  <si>
    <t>Kiiu Mõisa pargi arendamine</t>
  </si>
  <si>
    <t>rajatis</t>
  </si>
  <si>
    <t>sh toetuse arvelt- KIK toetus</t>
  </si>
  <si>
    <t>Kolga Kooli liginullenergiahoone projekteerimine</t>
  </si>
  <si>
    <t>hoone</t>
  </si>
  <si>
    <t>Kuusalu Keskkooli Spordikeskuse II korruse ehitus+duširuumide remont</t>
  </si>
  <si>
    <t>Kuusalu bussiootepaviljon</t>
  </si>
  <si>
    <t xml:space="preserve">Kolga Lasteaia ja Kiiu Kiigepõnni Lasteaia õueala ja hoonete korrastamine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</si>
</sst>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b/>
      <u/>
      <sz val="10"/>
      <name val="Arial"/>
      <family val="2"/>
      <charset val="186"/>
    </font>
    <font>
      <sz val="8"/>
      <color indexed="8"/>
      <name val="Arial"/>
      <family val="2"/>
      <charset val="186"/>
    </font>
    <font>
      <sz val="10"/>
      <name val="Times New Roman"/>
      <family val="1"/>
      <charset val="186"/>
    </font>
    <font>
      <sz val="10"/>
      <name val="Times New Roman"/>
      <family val="1"/>
    </font>
    <font>
      <sz val="8"/>
      <name val="Arial"/>
      <family val="2"/>
    </font>
    <font>
      <sz val="10"/>
      <color theme="1"/>
      <name val="Arial1"/>
      <charset val="186"/>
    </font>
    <font>
      <b/>
      <sz val="10"/>
      <color indexed="10"/>
      <name val="Arial"/>
      <family val="2"/>
      <charset val="186"/>
    </font>
    <font>
      <sz val="8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b/>
      <i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9"/>
      <name val="Arial"/>
      <family val="2"/>
      <charset val="186"/>
    </font>
    <font>
      <b/>
      <sz val="9"/>
      <name val="Times New Roman"/>
      <family val="1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  <font>
      <b/>
      <sz val="10"/>
      <color indexed="81"/>
      <name val="Tahoma"/>
      <family val="2"/>
    </font>
    <font>
      <sz val="10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3" fontId="2" fillId="4" borderId="4" xfId="0" applyNumberFormat="1" applyFont="1" applyFill="1" applyBorder="1" applyAlignment="1">
      <alignment horizontal="right" wrapText="1"/>
    </xf>
    <xf numFmtId="3" fontId="2" fillId="4" borderId="5" xfId="0" applyNumberFormat="1" applyFont="1" applyFill="1" applyBorder="1" applyAlignment="1">
      <alignment horizontal="right" wrapText="1"/>
    </xf>
    <xf numFmtId="0" fontId="4" fillId="0" borderId="6" xfId="0" applyFont="1" applyBorder="1" applyAlignment="1">
      <alignment horizontal="left"/>
    </xf>
    <xf numFmtId="3" fontId="5" fillId="4" borderId="7" xfId="0" applyNumberFormat="1" applyFont="1" applyFill="1" applyBorder="1" applyAlignment="1">
      <alignment wrapText="1"/>
    </xf>
    <xf numFmtId="3" fontId="5" fillId="4" borderId="8" xfId="0" applyNumberFormat="1" applyFont="1" applyFill="1" applyBorder="1" applyAlignment="1">
      <alignment wrapText="1"/>
    </xf>
    <xf numFmtId="3" fontId="1" fillId="5" borderId="9" xfId="0" applyNumberFormat="1" applyFont="1" applyFill="1" applyBorder="1" applyAlignment="1">
      <alignment wrapText="1"/>
    </xf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6" borderId="9" xfId="0" applyNumberFormat="1" applyFont="1" applyFill="1" applyBorder="1" applyAlignment="1">
      <alignment wrapText="1"/>
    </xf>
    <xf numFmtId="3" fontId="5" fillId="5" borderId="9" xfId="0" applyNumberFormat="1" applyFont="1" applyFill="1" applyBorder="1" applyAlignment="1">
      <alignment wrapText="1"/>
    </xf>
    <xf numFmtId="3" fontId="5" fillId="4" borderId="9" xfId="0" applyNumberFormat="1" applyFont="1" applyFill="1" applyBorder="1" applyAlignment="1">
      <alignment wrapText="1"/>
    </xf>
    <xf numFmtId="0" fontId="1" fillId="0" borderId="0" xfId="0" applyFont="1"/>
    <xf numFmtId="0" fontId="3" fillId="0" borderId="6" xfId="0" applyFont="1" applyBorder="1" applyAlignment="1">
      <alignment horizontal="left"/>
    </xf>
    <xf numFmtId="3" fontId="2" fillId="4" borderId="9" xfId="0" applyNumberFormat="1" applyFont="1" applyFill="1" applyBorder="1" applyAlignment="1">
      <alignment wrapText="1"/>
    </xf>
    <xf numFmtId="3" fontId="2" fillId="4" borderId="7" xfId="0" applyNumberFormat="1" applyFont="1" applyFill="1" applyBorder="1" applyAlignment="1">
      <alignment wrapText="1"/>
    </xf>
    <xf numFmtId="3" fontId="2" fillId="4" borderId="8" xfId="0" applyNumberFormat="1" applyFont="1" applyFill="1" applyBorder="1" applyAlignment="1">
      <alignment wrapText="1"/>
    </xf>
    <xf numFmtId="3" fontId="5" fillId="6" borderId="9" xfId="0" applyNumberFormat="1" applyFont="1" applyFill="1" applyBorder="1" applyAlignment="1">
      <alignment wrapText="1"/>
    </xf>
    <xf numFmtId="3" fontId="5" fillId="7" borderId="9" xfId="0" applyNumberFormat="1" applyFont="1" applyFill="1" applyBorder="1" applyAlignment="1">
      <alignment wrapText="1"/>
    </xf>
    <xf numFmtId="3" fontId="5" fillId="7" borderId="8" xfId="0" applyNumberFormat="1" applyFont="1" applyFill="1" applyBorder="1" applyAlignment="1">
      <alignment wrapText="1"/>
    </xf>
    <xf numFmtId="0" fontId="6" fillId="8" borderId="6" xfId="0" applyFont="1" applyFill="1" applyBorder="1" applyAlignment="1">
      <alignment horizontal="left"/>
    </xf>
    <xf numFmtId="3" fontId="5" fillId="8" borderId="9" xfId="0" applyNumberFormat="1" applyFont="1" applyFill="1" applyBorder="1" applyAlignment="1">
      <alignment wrapText="1"/>
    </xf>
    <xf numFmtId="3" fontId="1" fillId="8" borderId="7" xfId="0" applyNumberFormat="1" applyFont="1" applyFill="1" applyBorder="1"/>
    <xf numFmtId="3" fontId="1" fillId="8" borderId="8" xfId="0" applyNumberFormat="1" applyFont="1" applyFill="1" applyBorder="1"/>
    <xf numFmtId="0" fontId="3" fillId="0" borderId="0" xfId="0" applyFont="1"/>
    <xf numFmtId="0" fontId="3" fillId="9" borderId="10" xfId="0" applyFont="1" applyFill="1" applyBorder="1" applyAlignment="1">
      <alignment horizontal="left"/>
    </xf>
    <xf numFmtId="3" fontId="3" fillId="4" borderId="9" xfId="0" applyNumberFormat="1" applyFont="1" applyFill="1" applyBorder="1" applyAlignment="1">
      <alignment wrapText="1"/>
    </xf>
    <xf numFmtId="3" fontId="3" fillId="4" borderId="7" xfId="0" applyNumberFormat="1" applyFont="1" applyFill="1" applyBorder="1" applyAlignment="1">
      <alignment wrapText="1"/>
    </xf>
    <xf numFmtId="3" fontId="3" fillId="4" borderId="8" xfId="0" applyNumberFormat="1" applyFont="1" applyFill="1" applyBorder="1" applyAlignment="1">
      <alignment wrapText="1"/>
    </xf>
    <xf numFmtId="0" fontId="0" fillId="10" borderId="0" xfId="0" applyFill="1"/>
    <xf numFmtId="0" fontId="3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3" fontId="0" fillId="0" borderId="0" xfId="0" applyNumberFormat="1"/>
    <xf numFmtId="3" fontId="5" fillId="11" borderId="9" xfId="0" applyNumberFormat="1" applyFont="1" applyFill="1" applyBorder="1" applyAlignment="1">
      <alignment wrapText="1"/>
    </xf>
    <xf numFmtId="3" fontId="1" fillId="9" borderId="7" xfId="0" applyNumberFormat="1" applyFont="1" applyFill="1" applyBorder="1"/>
    <xf numFmtId="3" fontId="1" fillId="9" borderId="8" xfId="0" applyNumberFormat="1" applyFont="1" applyFill="1" applyBorder="1"/>
    <xf numFmtId="49" fontId="6" fillId="0" borderId="11" xfId="0" applyNumberFormat="1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3" fontId="1" fillId="11" borderId="7" xfId="0" applyNumberFormat="1" applyFont="1" applyFill="1" applyBorder="1"/>
    <xf numFmtId="0" fontId="4" fillId="0" borderId="11" xfId="1" applyFont="1" applyBorder="1"/>
    <xf numFmtId="0" fontId="4" fillId="0" borderId="10" xfId="0" applyFont="1" applyBorder="1" applyAlignment="1">
      <alignment horizontal="left"/>
    </xf>
    <xf numFmtId="3" fontId="5" fillId="5" borderId="12" xfId="0" applyNumberFormat="1" applyFont="1" applyFill="1" applyBorder="1" applyAlignment="1">
      <alignment wrapText="1"/>
    </xf>
    <xf numFmtId="3" fontId="11" fillId="0" borderId="7" xfId="1" applyNumberFormat="1" applyFont="1" applyBorder="1"/>
    <xf numFmtId="0" fontId="4" fillId="0" borderId="13" xfId="0" applyFont="1" applyBorder="1" applyAlignment="1">
      <alignment horizontal="left" wrapText="1"/>
    </xf>
    <xf numFmtId="3" fontId="5" fillId="5" borderId="14" xfId="0" applyNumberFormat="1" applyFont="1" applyFill="1" applyBorder="1" applyAlignment="1">
      <alignment wrapText="1"/>
    </xf>
    <xf numFmtId="0" fontId="2" fillId="0" borderId="11" xfId="0" applyFont="1" applyBorder="1" applyAlignment="1">
      <alignment horizontal="left" wrapText="1"/>
    </xf>
    <xf numFmtId="0" fontId="12" fillId="0" borderId="11" xfId="0" applyFont="1" applyBorder="1"/>
    <xf numFmtId="0" fontId="2" fillId="0" borderId="11" xfId="0" applyFont="1" applyBorder="1" applyAlignment="1">
      <alignment wrapText="1"/>
    </xf>
    <xf numFmtId="3" fontId="5" fillId="12" borderId="9" xfId="0" applyNumberFormat="1" applyFont="1" applyFill="1" applyBorder="1" applyAlignment="1">
      <alignment wrapText="1"/>
    </xf>
    <xf numFmtId="3" fontId="1" fillId="13" borderId="7" xfId="0" applyNumberFormat="1" applyFont="1" applyFill="1" applyBorder="1"/>
    <xf numFmtId="3" fontId="1" fillId="14" borderId="7" xfId="0" applyNumberFormat="1" applyFont="1" applyFill="1" applyBorder="1"/>
    <xf numFmtId="3" fontId="1" fillId="15" borderId="7" xfId="0" applyNumberFormat="1" applyFont="1" applyFill="1" applyBorder="1"/>
    <xf numFmtId="3" fontId="1" fillId="16" borderId="8" xfId="0" applyNumberFormat="1" applyFont="1" applyFill="1" applyBorder="1"/>
    <xf numFmtId="3" fontId="1" fillId="4" borderId="7" xfId="0" applyNumberFormat="1" applyFont="1" applyFill="1" applyBorder="1" applyAlignment="1">
      <alignment wrapText="1"/>
    </xf>
    <xf numFmtId="3" fontId="1" fillId="4" borderId="8" xfId="0" applyNumberFormat="1" applyFont="1" applyFill="1" applyBorder="1" applyAlignment="1">
      <alignment wrapText="1"/>
    </xf>
    <xf numFmtId="0" fontId="4" fillId="0" borderId="11" xfId="0" applyFont="1" applyBorder="1" applyAlignment="1">
      <alignment wrapText="1"/>
    </xf>
    <xf numFmtId="3" fontId="13" fillId="0" borderId="15" xfId="0" applyNumberFormat="1" applyFont="1" applyBorder="1"/>
    <xf numFmtId="3" fontId="13" fillId="0" borderId="16" xfId="0" applyNumberFormat="1" applyFont="1" applyBorder="1"/>
    <xf numFmtId="0" fontId="4" fillId="0" borderId="10" xfId="0" applyFont="1" applyBorder="1"/>
    <xf numFmtId="3" fontId="1" fillId="5" borderId="9" xfId="0" applyNumberFormat="1" applyFont="1" applyFill="1" applyBorder="1"/>
    <xf numFmtId="0" fontId="2" fillId="0" borderId="11" xfId="0" applyFont="1" applyBorder="1"/>
    <xf numFmtId="3" fontId="2" fillId="12" borderId="9" xfId="0" applyNumberFormat="1" applyFont="1" applyFill="1" applyBorder="1" applyAlignment="1">
      <alignment wrapText="1"/>
    </xf>
    <xf numFmtId="3" fontId="3" fillId="17" borderId="7" xfId="0" applyNumberFormat="1" applyFont="1" applyFill="1" applyBorder="1"/>
    <xf numFmtId="3" fontId="3" fillId="18" borderId="7" xfId="0" applyNumberFormat="1" applyFont="1" applyFill="1" applyBorder="1"/>
    <xf numFmtId="3" fontId="3" fillId="15" borderId="7" xfId="0" applyNumberFormat="1" applyFont="1" applyFill="1" applyBorder="1"/>
    <xf numFmtId="3" fontId="3" fillId="19" borderId="7" xfId="0" applyNumberFormat="1" applyFont="1" applyFill="1" applyBorder="1"/>
    <xf numFmtId="3" fontId="3" fillId="4" borderId="8" xfId="0" applyNumberFormat="1" applyFont="1" applyFill="1" applyBorder="1"/>
    <xf numFmtId="3" fontId="1" fillId="11" borderId="17" xfId="0" applyNumberFormat="1" applyFont="1" applyFill="1" applyBorder="1" applyAlignment="1">
      <alignment horizontal="right"/>
    </xf>
    <xf numFmtId="3" fontId="1" fillId="11" borderId="8" xfId="0" applyNumberFormat="1" applyFont="1" applyFill="1" applyBorder="1"/>
    <xf numFmtId="0" fontId="4" fillId="0" borderId="18" xfId="0" applyFont="1" applyBorder="1" applyAlignment="1">
      <alignment wrapText="1"/>
    </xf>
    <xf numFmtId="3" fontId="1" fillId="5" borderId="19" xfId="0" applyNumberFormat="1" applyFont="1" applyFill="1" applyBorder="1" applyAlignment="1">
      <alignment horizontal="right"/>
    </xf>
    <xf numFmtId="3" fontId="1" fillId="0" borderId="20" xfId="0" applyNumberFormat="1" applyFont="1" applyBorder="1"/>
    <xf numFmtId="0" fontId="3" fillId="0" borderId="11" xfId="0" applyFont="1" applyBorder="1" applyAlignment="1">
      <alignment wrapText="1"/>
    </xf>
    <xf numFmtId="164" fontId="12" fillId="4" borderId="9" xfId="0" applyNumberFormat="1" applyFont="1" applyFill="1" applyBorder="1" applyAlignment="1">
      <alignment wrapText="1"/>
    </xf>
    <xf numFmtId="164" fontId="12" fillId="4" borderId="7" xfId="0" applyNumberFormat="1" applyFont="1" applyFill="1" applyBorder="1" applyAlignment="1">
      <alignment wrapText="1"/>
    </xf>
    <xf numFmtId="164" fontId="12" fillId="4" borderId="8" xfId="0" applyNumberFormat="1" applyFont="1" applyFill="1" applyBorder="1" applyAlignment="1">
      <alignment wrapText="1"/>
    </xf>
    <xf numFmtId="3" fontId="5" fillId="4" borderId="21" xfId="0" applyNumberFormat="1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10" fontId="5" fillId="0" borderId="9" xfId="0" applyNumberFormat="1" applyFont="1" applyBorder="1" applyAlignment="1">
      <alignment wrapText="1"/>
    </xf>
    <xf numFmtId="0" fontId="0" fillId="0" borderId="7" xfId="0" applyBorder="1"/>
    <xf numFmtId="0" fontId="0" fillId="0" borderId="8" xfId="0" applyBorder="1"/>
    <xf numFmtId="0" fontId="14" fillId="0" borderId="22" xfId="0" applyFont="1" applyBorder="1" applyAlignment="1">
      <alignment wrapText="1"/>
    </xf>
    <xf numFmtId="3" fontId="14" fillId="4" borderId="23" xfId="0" applyNumberFormat="1" applyFont="1" applyFill="1" applyBorder="1" applyAlignment="1">
      <alignment wrapText="1"/>
    </xf>
    <xf numFmtId="3" fontId="14" fillId="4" borderId="24" xfId="0" applyNumberFormat="1" applyFont="1" applyFill="1" applyBorder="1" applyAlignment="1">
      <alignment wrapText="1"/>
    </xf>
    <xf numFmtId="0" fontId="15" fillId="0" borderId="0" xfId="0" applyFont="1" applyAlignment="1">
      <alignment wrapText="1"/>
    </xf>
    <xf numFmtId="3" fontId="15" fillId="0" borderId="0" xfId="0" applyNumberFormat="1" applyFont="1" applyAlignment="1">
      <alignment horizontal="right" wrapText="1"/>
    </xf>
    <xf numFmtId="0" fontId="15" fillId="0" borderId="0" xfId="0" applyFont="1"/>
    <xf numFmtId="0" fontId="1" fillId="0" borderId="7" xfId="0" applyFont="1" applyBorder="1" applyAlignment="1">
      <alignment wrapText="1"/>
    </xf>
    <xf numFmtId="3" fontId="4" fillId="0" borderId="7" xfId="0" applyNumberFormat="1" applyFont="1" applyBorder="1" applyAlignment="1">
      <alignment horizontal="center" wrapText="1"/>
    </xf>
    <xf numFmtId="9" fontId="4" fillId="0" borderId="7" xfId="0" applyNumberFormat="1" applyFont="1" applyBorder="1" applyAlignment="1">
      <alignment wrapText="1"/>
    </xf>
    <xf numFmtId="4" fontId="4" fillId="0" borderId="7" xfId="0" applyNumberFormat="1" applyFont="1" applyBorder="1" applyAlignment="1">
      <alignment wrapText="1"/>
    </xf>
    <xf numFmtId="0" fontId="16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3" fillId="0" borderId="11" xfId="2" applyFont="1" applyBorder="1"/>
    <xf numFmtId="3" fontId="3" fillId="5" borderId="7" xfId="0" applyNumberFormat="1" applyFont="1" applyFill="1" applyBorder="1"/>
    <xf numFmtId="3" fontId="3" fillId="5" borderId="8" xfId="0" applyNumberFormat="1" applyFont="1" applyFill="1" applyBorder="1"/>
    <xf numFmtId="0" fontId="6" fillId="0" borderId="11" xfId="0" applyFont="1" applyBorder="1" applyAlignment="1">
      <alignment wrapText="1"/>
    </xf>
    <xf numFmtId="0" fontId="3" fillId="9" borderId="11" xfId="0" applyFont="1" applyFill="1" applyBorder="1" applyAlignment="1">
      <alignment wrapText="1"/>
    </xf>
    <xf numFmtId="3" fontId="3" fillId="9" borderId="7" xfId="0" applyNumberFormat="1" applyFont="1" applyFill="1" applyBorder="1"/>
    <xf numFmtId="3" fontId="3" fillId="9" borderId="8" xfId="0" applyNumberFormat="1" applyFont="1" applyFill="1" applyBorder="1"/>
    <xf numFmtId="0" fontId="6" fillId="0" borderId="22" xfId="0" applyFont="1" applyBorder="1" applyAlignment="1">
      <alignment wrapText="1"/>
    </xf>
    <xf numFmtId="3" fontId="1" fillId="5" borderId="23" xfId="0" applyNumberFormat="1" applyFont="1" applyFill="1" applyBorder="1"/>
    <xf numFmtId="3" fontId="1" fillId="11" borderId="23" xfId="0" applyNumberFormat="1" applyFont="1" applyFill="1" applyBorder="1"/>
    <xf numFmtId="3" fontId="1" fillId="11" borderId="24" xfId="0" applyNumberFormat="1" applyFont="1" applyFill="1" applyBorder="1"/>
    <xf numFmtId="0" fontId="17" fillId="0" borderId="25" xfId="0" applyFont="1" applyBorder="1"/>
    <xf numFmtId="3" fontId="18" fillId="0" borderId="0" xfId="0" applyNumberFormat="1" applyFont="1"/>
    <xf numFmtId="0" fontId="19" fillId="2" borderId="2" xfId="0" applyFont="1" applyFill="1" applyBorder="1" applyAlignment="1">
      <alignment horizontal="center" wrapText="1"/>
    </xf>
    <xf numFmtId="0" fontId="1" fillId="10" borderId="0" xfId="0" applyFont="1" applyFill="1"/>
    <xf numFmtId="0" fontId="5" fillId="0" borderId="7" xfId="0" applyFont="1" applyBorder="1"/>
    <xf numFmtId="0" fontId="0" fillId="11" borderId="7" xfId="0" applyFill="1" applyBorder="1"/>
    <xf numFmtId="3" fontId="0" fillId="0" borderId="7" xfId="0" applyNumberFormat="1" applyBorder="1"/>
    <xf numFmtId="0" fontId="3" fillId="0" borderId="11" xfId="2" applyFont="1" applyBorder="1" applyAlignment="1">
      <alignment wrapText="1"/>
    </xf>
    <xf numFmtId="0" fontId="1" fillId="0" borderId="7" xfId="0" applyFont="1" applyBorder="1"/>
    <xf numFmtId="0" fontId="3" fillId="0" borderId="0" xfId="0" applyFont="1" applyAlignment="1">
      <alignment wrapText="1"/>
    </xf>
  </cellXfs>
  <cellStyles count="3">
    <cellStyle name="Normaallaad" xfId="0" builtinId="0"/>
    <cellStyle name="Normal_Sheet1" xfId="1" xr:uid="{896F1374-81F4-47A0-A8E6-A1656142A0A6}"/>
    <cellStyle name="Normal_Sheet1 2" xfId="2" xr:uid="{EB521159-3E49-4446-95C2-8276E59E2941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uusaluvallavalitsus-my.sharepoint.com/personal/ly_korotejev-piir_kuusalu_ee/Documents/T&#246;&#246;laud/Eelarve%202027/Kuusalu%202026E%2005.10.2026.xlsx" TargetMode="External"/><Relationship Id="rId1" Type="http://schemas.openxmlformats.org/officeDocument/2006/relationships/externalLinkPath" Target="Kuusalu%202026E%2005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larvearuanne"/>
      <sheetName val="Strateegia vorm KOV"/>
      <sheetName val="Strateegia vorm valdkonniti"/>
      <sheetName val="Strateegia vorm sõltuv üksus"/>
      <sheetName val="Strateegia vorm arvestusüksus"/>
    </sheetNames>
    <sheetDataSet>
      <sheetData sheetId="0">
        <row r="7">
          <cell r="D7">
            <v>10608820</v>
          </cell>
          <cell r="H7">
            <v>10074878.74</v>
          </cell>
        </row>
        <row r="8">
          <cell r="D8">
            <v>10100000</v>
          </cell>
          <cell r="H8">
            <v>9589728.4600000009</v>
          </cell>
        </row>
        <row r="9">
          <cell r="D9">
            <v>508820</v>
          </cell>
          <cell r="H9">
            <v>485150.28</v>
          </cell>
        </row>
        <row r="14">
          <cell r="D14">
            <v>874000</v>
          </cell>
          <cell r="H14">
            <v>760815.59</v>
          </cell>
        </row>
        <row r="16">
          <cell r="D16">
            <v>537078</v>
          </cell>
          <cell r="H16">
            <v>569084</v>
          </cell>
        </row>
        <row r="17">
          <cell r="D17">
            <v>3818653</v>
          </cell>
          <cell r="H17">
            <v>3332141</v>
          </cell>
        </row>
        <row r="18">
          <cell r="D18">
            <v>160000</v>
          </cell>
          <cell r="H18">
            <v>460021.29</v>
          </cell>
        </row>
        <row r="19">
          <cell r="D19">
            <v>400000</v>
          </cell>
          <cell r="H19">
            <v>847093.38</v>
          </cell>
        </row>
        <row r="25">
          <cell r="D25">
            <v>-1160432</v>
          </cell>
          <cell r="H25">
            <v>-1188937.02</v>
          </cell>
        </row>
        <row r="31">
          <cell r="D31">
            <v>-9666497</v>
          </cell>
          <cell r="H31">
            <v>-8754266.4900000002</v>
          </cell>
        </row>
        <row r="32">
          <cell r="D32">
            <v>-4474452</v>
          </cell>
          <cell r="H32">
            <v>-4773260.09</v>
          </cell>
        </row>
        <row r="33">
          <cell r="D33">
            <v>-15621</v>
          </cell>
          <cell r="H33">
            <v>-34713.03</v>
          </cell>
        </row>
        <row r="37">
          <cell r="D37">
            <v>-1563841</v>
          </cell>
          <cell r="H37">
            <v>-7557721.0499999998</v>
          </cell>
        </row>
        <row r="38">
          <cell r="D38">
            <v>464641</v>
          </cell>
          <cell r="H38">
            <v>3372775.22</v>
          </cell>
        </row>
        <row r="39">
          <cell r="D39">
            <v>-120000</v>
          </cell>
          <cell r="H39">
            <v>-54670.71</v>
          </cell>
        </row>
        <row r="46">
          <cell r="D46">
            <v>15000</v>
          </cell>
          <cell r="H46">
            <v>2685.29</v>
          </cell>
        </row>
        <row r="47">
          <cell r="D47">
            <v>-420000</v>
          </cell>
          <cell r="H47">
            <v>-302668.79999999999</v>
          </cell>
        </row>
        <row r="50">
          <cell r="D50">
            <v>1070000</v>
          </cell>
          <cell r="H50">
            <v>3230000</v>
          </cell>
        </row>
        <row r="51">
          <cell r="D51">
            <v>-730000</v>
          </cell>
          <cell r="H51">
            <v>-527478.42000000004</v>
          </cell>
        </row>
        <row r="52">
          <cell r="D52">
            <v>-202651</v>
          </cell>
          <cell r="H52">
            <v>-86966.000000000102</v>
          </cell>
        </row>
        <row r="53">
          <cell r="H53">
            <v>457255.10000000201</v>
          </cell>
        </row>
        <row r="156">
          <cell r="H156">
            <v>10562686.199999999</v>
          </cell>
        </row>
        <row r="158">
          <cell r="H158">
            <v>651440.9</v>
          </cell>
        </row>
      </sheetData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55A2-868B-40C2-BEB1-A1DC3A90517A}">
  <dimension ref="A1:G120"/>
  <sheetViews>
    <sheetView tabSelected="1" zoomScale="103" zoomScaleNormal="130" workbookViewId="0">
      <pane xSplit="1" ySplit="1" topLeftCell="B97" activePane="bottomRight" state="frozen"/>
      <selection pane="topRight" activeCell="B1" sqref="B1"/>
      <selection pane="bottomLeft" activeCell="A4" sqref="A4"/>
      <selection pane="bottomRight" activeCell="J102" sqref="J102"/>
    </sheetView>
  </sheetViews>
  <sheetFormatPr defaultColWidth="9.1796875" defaultRowHeight="12.5"/>
  <cols>
    <col min="1" max="1" width="33.81640625" customWidth="1"/>
    <col min="2" max="2" width="12.1796875" customWidth="1"/>
    <col min="3" max="3" width="11.1796875" customWidth="1"/>
    <col min="4" max="4" width="11.453125" customWidth="1"/>
    <col min="5" max="5" width="10.81640625" customWidth="1"/>
    <col min="6" max="6" width="11" customWidth="1"/>
    <col min="7" max="7" width="11.26953125" customWidth="1"/>
  </cols>
  <sheetData>
    <row r="1" spans="1:7" ht="54.7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customHeight="1">
      <c r="A2" s="3" t="s">
        <v>7</v>
      </c>
      <c r="B2" s="4">
        <f t="shared" ref="B2:C2" si="0">B3+B7+B8+B12</f>
        <v>16044034.000000002</v>
      </c>
      <c r="C2" s="4">
        <f t="shared" si="0"/>
        <v>16398551</v>
      </c>
      <c r="D2" s="4">
        <f>(D3+D7+D8+D12)</f>
        <v>17106731</v>
      </c>
      <c r="E2" s="4">
        <f>(E3+E7+E8+E12)</f>
        <v>17596731</v>
      </c>
      <c r="F2" s="4">
        <f>(F3+F7+F8+F12)</f>
        <v>18056731</v>
      </c>
      <c r="G2" s="5">
        <f>(G3+G7+G8+G12)</f>
        <v>18536731</v>
      </c>
    </row>
    <row r="3" spans="1:7">
      <c r="A3" s="6" t="s">
        <v>8</v>
      </c>
      <c r="B3" s="7">
        <f t="shared" ref="B3:G3" si="1">SUM(B4:B6)</f>
        <v>10074878.74</v>
      </c>
      <c r="C3" s="7">
        <f t="shared" si="1"/>
        <v>10608820</v>
      </c>
      <c r="D3" s="7">
        <f t="shared" si="1"/>
        <v>11115000</v>
      </c>
      <c r="E3" s="7">
        <f t="shared" si="1"/>
        <v>11605000</v>
      </c>
      <c r="F3" s="7">
        <f t="shared" si="1"/>
        <v>12065000</v>
      </c>
      <c r="G3" s="8">
        <f t="shared" si="1"/>
        <v>12545000</v>
      </c>
    </row>
    <row r="4" spans="1:7">
      <c r="A4" s="6" t="s">
        <v>9</v>
      </c>
      <c r="B4" s="9">
        <f>[1]Eelarvearuanne!H8</f>
        <v>9589728.4600000009</v>
      </c>
      <c r="C4" s="9">
        <f>[1]Eelarvearuanne!D8</f>
        <v>10100000</v>
      </c>
      <c r="D4" s="10">
        <f>10570000</f>
        <v>10570000</v>
      </c>
      <c r="E4" s="10">
        <v>11060000</v>
      </c>
      <c r="F4" s="10">
        <v>11520000</v>
      </c>
      <c r="G4" s="11">
        <v>12000000</v>
      </c>
    </row>
    <row r="5" spans="1:7">
      <c r="A5" s="6" t="s">
        <v>10</v>
      </c>
      <c r="B5" s="9">
        <f>[1]Eelarvearuanne!H9</f>
        <v>485150.28</v>
      </c>
      <c r="C5" s="12">
        <f>[1]Eelarvearuanne!D9</f>
        <v>508820</v>
      </c>
      <c r="D5" s="10">
        <v>545000</v>
      </c>
      <c r="E5" s="10">
        <v>545000</v>
      </c>
      <c r="F5" s="10">
        <v>545000</v>
      </c>
      <c r="G5" s="10">
        <v>545000</v>
      </c>
    </row>
    <row r="6" spans="1:7">
      <c r="A6" s="6" t="s">
        <v>11</v>
      </c>
      <c r="B6" s="9">
        <f>[1]Eelarvearuanne!H7-[1]Eelarvearuanne!H8-[1]Eelarvearuanne!H9</f>
        <v>-6.9849193096160889E-10</v>
      </c>
      <c r="C6" s="12">
        <f>[1]Eelarvearuanne!D7-[1]Eelarvearuanne!D8-[1]Eelarvearuanne!D9</f>
        <v>0</v>
      </c>
      <c r="D6" s="10">
        <v>0</v>
      </c>
      <c r="E6" s="10">
        <v>0</v>
      </c>
      <c r="F6" s="10">
        <v>0</v>
      </c>
      <c r="G6" s="11">
        <v>0</v>
      </c>
    </row>
    <row r="7" spans="1:7">
      <c r="A7" s="6" t="s">
        <v>12</v>
      </c>
      <c r="B7" s="13">
        <f>[1]Eelarvearuanne!H14</f>
        <v>760815.59</v>
      </c>
      <c r="C7" s="13">
        <f>[1]Eelarvearuanne!D14</f>
        <v>874000</v>
      </c>
      <c r="D7" s="10">
        <v>874000</v>
      </c>
      <c r="E7" s="10">
        <v>874000</v>
      </c>
      <c r="F7" s="10">
        <v>874000</v>
      </c>
      <c r="G7" s="10">
        <v>874000</v>
      </c>
    </row>
    <row r="8" spans="1:7">
      <c r="A8" s="6" t="s">
        <v>13</v>
      </c>
      <c r="B8" s="14">
        <f t="shared" ref="B8:G8" si="2">SUM(B9:B11)</f>
        <v>4361246.29</v>
      </c>
      <c r="C8" s="7">
        <f t="shared" si="2"/>
        <v>4515731</v>
      </c>
      <c r="D8" s="7">
        <f t="shared" si="2"/>
        <v>4599731</v>
      </c>
      <c r="E8" s="7">
        <f t="shared" si="2"/>
        <v>4599731</v>
      </c>
      <c r="F8" s="7">
        <f t="shared" si="2"/>
        <v>4599731</v>
      </c>
      <c r="G8" s="8">
        <f t="shared" si="2"/>
        <v>4599731</v>
      </c>
    </row>
    <row r="9" spans="1:7">
      <c r="A9" s="6" t="s">
        <v>14</v>
      </c>
      <c r="B9" s="13">
        <f>[1]Eelarvearuanne!H16</f>
        <v>569084</v>
      </c>
      <c r="C9" s="13">
        <f>[1]Eelarvearuanne!D16</f>
        <v>537078</v>
      </c>
      <c r="D9" s="10">
        <v>537078</v>
      </c>
      <c r="E9" s="10">
        <v>537078</v>
      </c>
      <c r="F9" s="10">
        <v>537078</v>
      </c>
      <c r="G9" s="10">
        <v>537078</v>
      </c>
    </row>
    <row r="10" spans="1:7">
      <c r="A10" s="6" t="s">
        <v>15</v>
      </c>
      <c r="B10" s="13">
        <f>[1]Eelarvearuanne!H17</f>
        <v>3332141</v>
      </c>
      <c r="C10" s="13">
        <f>[1]Eelarvearuanne!D17</f>
        <v>3818653</v>
      </c>
      <c r="D10" s="10">
        <f>3818653+84000</f>
        <v>3902653</v>
      </c>
      <c r="E10" s="10">
        <f>3818653+84000</f>
        <v>3902653</v>
      </c>
      <c r="F10" s="10">
        <f>3818653+84000</f>
        <v>3902653</v>
      </c>
      <c r="G10" s="10">
        <f>3818653+84000</f>
        <v>3902653</v>
      </c>
    </row>
    <row r="11" spans="1:7">
      <c r="A11" s="6" t="s">
        <v>16</v>
      </c>
      <c r="B11" s="13">
        <f>[1]Eelarvearuanne!H18</f>
        <v>460021.29</v>
      </c>
      <c r="C11" s="13">
        <f>[1]Eelarvearuanne!D18</f>
        <v>160000</v>
      </c>
      <c r="D11" s="10">
        <v>160000</v>
      </c>
      <c r="E11" s="10">
        <v>160000</v>
      </c>
      <c r="F11" s="10">
        <v>160000</v>
      </c>
      <c r="G11" s="10">
        <v>160000</v>
      </c>
    </row>
    <row r="12" spans="1:7">
      <c r="A12" s="6" t="s">
        <v>17</v>
      </c>
      <c r="B12" s="13">
        <f>[1]Eelarvearuanne!H19</f>
        <v>847093.38</v>
      </c>
      <c r="C12" s="13">
        <f>[1]Eelarvearuanne!D19</f>
        <v>400000</v>
      </c>
      <c r="D12" s="10">
        <v>518000</v>
      </c>
      <c r="E12" s="10">
        <v>518000</v>
      </c>
      <c r="F12" s="10">
        <v>518000</v>
      </c>
      <c r="G12" s="10">
        <v>518000</v>
      </c>
    </row>
    <row r="13" spans="1:7" ht="13">
      <c r="A13" s="16" t="s">
        <v>18</v>
      </c>
      <c r="B13" s="17">
        <f t="shared" ref="B13" si="3">SUM(B14:B15)</f>
        <v>14751176.629999999</v>
      </c>
      <c r="C13" s="17">
        <f>C14+C15</f>
        <v>15317002</v>
      </c>
      <c r="D13" s="18">
        <f>SUM(D14:D15)</f>
        <v>15953740</v>
      </c>
      <c r="E13" s="18">
        <f>SUM(E14:E15)</f>
        <v>16011335</v>
      </c>
      <c r="F13" s="18">
        <f>SUM(F14:F15)</f>
        <v>16071335</v>
      </c>
      <c r="G13" s="19">
        <f>SUM(G14:G15)</f>
        <v>16621335</v>
      </c>
    </row>
    <row r="14" spans="1:7">
      <c r="A14" s="6" t="s">
        <v>19</v>
      </c>
      <c r="B14" s="13">
        <f>-[1]Eelarvearuanne!H25</f>
        <v>1188937.02</v>
      </c>
      <c r="C14" s="20">
        <f>-[1]Eelarvearuanne!D25</f>
        <v>1160432</v>
      </c>
      <c r="D14" s="10">
        <v>1402473</v>
      </c>
      <c r="E14" s="10">
        <v>1400000</v>
      </c>
      <c r="F14" s="10">
        <v>1400000</v>
      </c>
      <c r="G14" s="10">
        <v>1400000</v>
      </c>
    </row>
    <row r="15" spans="1:7">
      <c r="A15" s="6" t="s">
        <v>20</v>
      </c>
      <c r="B15" s="14">
        <f t="shared" ref="B15:G15" si="4">B16+B17+B19</f>
        <v>13562239.609999999</v>
      </c>
      <c r="C15" s="14">
        <f t="shared" si="4"/>
        <v>14156570</v>
      </c>
      <c r="D15" s="21">
        <f t="shared" si="4"/>
        <v>14551267</v>
      </c>
      <c r="E15" s="21">
        <f t="shared" si="4"/>
        <v>14611335</v>
      </c>
      <c r="F15" s="21">
        <f t="shared" si="4"/>
        <v>14671335</v>
      </c>
      <c r="G15" s="22">
        <f t="shared" si="4"/>
        <v>15221335</v>
      </c>
    </row>
    <row r="16" spans="1:7">
      <c r="A16" s="6" t="s">
        <v>21</v>
      </c>
      <c r="B16" s="13">
        <f>-[1]Eelarvearuanne!H31</f>
        <v>8754266.4900000002</v>
      </c>
      <c r="C16" s="20">
        <f>-[1]Eelarvearuanne!D31</f>
        <v>9666497</v>
      </c>
      <c r="D16" s="10">
        <f>9841937</f>
        <v>9841937</v>
      </c>
      <c r="E16" s="10">
        <f>9900000</f>
        <v>9900000</v>
      </c>
      <c r="F16" s="10">
        <f>9900000</f>
        <v>9900000</v>
      </c>
      <c r="G16" s="10">
        <f>10200000</f>
        <v>10200000</v>
      </c>
    </row>
    <row r="17" spans="1:7">
      <c r="A17" s="6" t="s">
        <v>22</v>
      </c>
      <c r="B17" s="13">
        <f>-[1]Eelarvearuanne!H32</f>
        <v>4773260.09</v>
      </c>
      <c r="C17" s="13">
        <f>-[1]Eelarvearuanne!D32</f>
        <v>4474452</v>
      </c>
      <c r="D17" s="10">
        <v>4687995</v>
      </c>
      <c r="E17" s="10">
        <v>4690000</v>
      </c>
      <c r="F17" s="10">
        <v>4750000</v>
      </c>
      <c r="G17" s="10">
        <v>5000000</v>
      </c>
    </row>
    <row r="18" spans="1:7">
      <c r="A18" s="23" t="s">
        <v>23</v>
      </c>
      <c r="B18" s="24">
        <v>16401</v>
      </c>
      <c r="C18" s="24">
        <v>16401</v>
      </c>
      <c r="D18" s="25">
        <v>13916</v>
      </c>
      <c r="E18" s="25">
        <v>13419</v>
      </c>
      <c r="F18" s="25">
        <v>10173</v>
      </c>
      <c r="G18" s="26">
        <v>0</v>
      </c>
    </row>
    <row r="19" spans="1:7">
      <c r="A19" s="6" t="s">
        <v>24</v>
      </c>
      <c r="B19" s="13">
        <f>-[1]Eelarvearuanne!H33</f>
        <v>34713.03</v>
      </c>
      <c r="C19" s="13">
        <f>-[1]Eelarvearuanne!D33</f>
        <v>15621</v>
      </c>
      <c r="D19" s="10">
        <v>21335</v>
      </c>
      <c r="E19" s="10">
        <v>21335</v>
      </c>
      <c r="F19" s="10">
        <v>21335</v>
      </c>
      <c r="G19" s="10">
        <v>21335</v>
      </c>
    </row>
    <row r="20" spans="1:7" ht="13">
      <c r="A20" s="28" t="s">
        <v>25</v>
      </c>
      <c r="B20" s="29">
        <f t="shared" ref="B20:G20" si="5">B2-B13</f>
        <v>1292857.3700000029</v>
      </c>
      <c r="C20" s="30">
        <f t="shared" si="5"/>
        <v>1081549</v>
      </c>
      <c r="D20" s="30">
        <f t="shared" si="5"/>
        <v>1152991</v>
      </c>
      <c r="E20" s="30">
        <f t="shared" si="5"/>
        <v>1585396</v>
      </c>
      <c r="F20" s="30">
        <f t="shared" si="5"/>
        <v>1985396</v>
      </c>
      <c r="G20" s="31">
        <f t="shared" si="5"/>
        <v>1915396</v>
      </c>
    </row>
    <row r="21" spans="1:7" ht="13">
      <c r="A21" s="33" t="s">
        <v>26</v>
      </c>
      <c r="B21" s="29">
        <f t="shared" ref="B21:G21" si="6">B22+B23+B25+B26+B27+B28+B29+B30+B31+B32</f>
        <v>-4539600.05</v>
      </c>
      <c r="C21" s="29">
        <f>C22+C23+C25+C26+C27+C28+C29+C30+C31+C32</f>
        <v>-1624200</v>
      </c>
      <c r="D21" s="29">
        <f>D22+D23+D25+D26+D27+D28+D29+D30+D31+D32</f>
        <v>-1381000</v>
      </c>
      <c r="E21" s="29">
        <f t="shared" si="6"/>
        <v>-1798000</v>
      </c>
      <c r="F21" s="29">
        <f t="shared" si="6"/>
        <v>-2148000</v>
      </c>
      <c r="G21" s="31">
        <f t="shared" si="6"/>
        <v>-2398000</v>
      </c>
    </row>
    <row r="22" spans="1:7" ht="12.75" customHeight="1">
      <c r="A22" s="34" t="s">
        <v>27</v>
      </c>
      <c r="B22" s="13">
        <f>[1]Eelarvearuanne!H36</f>
        <v>0</v>
      </c>
      <c r="C22" s="13">
        <f>[1]Eelarvearuanne!D36</f>
        <v>0</v>
      </c>
      <c r="D22" s="10"/>
      <c r="E22" s="10"/>
      <c r="F22" s="10"/>
      <c r="G22" s="11"/>
    </row>
    <row r="23" spans="1:7" ht="12.75" customHeight="1">
      <c r="A23" s="34" t="s">
        <v>28</v>
      </c>
      <c r="B23" s="13">
        <f>[1]Eelarvearuanne!H37</f>
        <v>-7557721.0499999998</v>
      </c>
      <c r="C23" s="36">
        <f>[1]Eelarvearuanne!D37</f>
        <v>-1563841</v>
      </c>
      <c r="D23" s="37">
        <f>-D88</f>
        <v>-1446000</v>
      </c>
      <c r="E23" s="37">
        <f>-E88</f>
        <v>-2630000</v>
      </c>
      <c r="F23" s="37">
        <f>-F88</f>
        <v>-2790000</v>
      </c>
      <c r="G23" s="38">
        <f>-G88</f>
        <v>-1810000</v>
      </c>
    </row>
    <row r="24" spans="1:7">
      <c r="A24" s="39" t="s">
        <v>29</v>
      </c>
      <c r="B24" s="13">
        <f>-(-B23-B25)</f>
        <v>-4184945.8299999996</v>
      </c>
      <c r="C24" s="37">
        <f>-C90</f>
        <v>-1119200</v>
      </c>
      <c r="D24" s="37">
        <f>-D90</f>
        <v>-896000</v>
      </c>
      <c r="E24" s="37">
        <f>-E90</f>
        <v>-1310000</v>
      </c>
      <c r="F24" s="37">
        <f>-F90</f>
        <v>-1610000</v>
      </c>
      <c r="G24" s="38">
        <f>-G90</f>
        <v>-1810000</v>
      </c>
    </row>
    <row r="25" spans="1:7" ht="12.75" customHeight="1">
      <c r="A25" s="40" t="s">
        <v>30</v>
      </c>
      <c r="B25" s="13">
        <f>[1]Eelarvearuanne!H38</f>
        <v>3372775.22</v>
      </c>
      <c r="C25" s="41">
        <f>[1]Eelarvearuanne!D38</f>
        <v>464641</v>
      </c>
      <c r="D25" s="37">
        <f>D89+20000</f>
        <v>570000</v>
      </c>
      <c r="E25" s="37">
        <f>E89+20000</f>
        <v>1340000</v>
      </c>
      <c r="F25" s="37">
        <f>F89+20000</f>
        <v>1200000</v>
      </c>
      <c r="G25" s="38">
        <f>G89+20000</f>
        <v>20000</v>
      </c>
    </row>
    <row r="26" spans="1:7" ht="12.75" customHeight="1">
      <c r="A26" s="34" t="s">
        <v>31</v>
      </c>
      <c r="B26" s="13">
        <f>[1]Eelarvearuanne!H39</f>
        <v>-54670.71</v>
      </c>
      <c r="C26" s="13">
        <f>[1]Eelarvearuanne!D39</f>
        <v>-120000</v>
      </c>
      <c r="D26" s="10">
        <f>-50000-25000</f>
        <v>-75000</v>
      </c>
      <c r="E26" s="10">
        <v>-60000</v>
      </c>
      <c r="F26" s="10">
        <v>-60000</v>
      </c>
      <c r="G26" s="10">
        <v>-60000</v>
      </c>
    </row>
    <row r="27" spans="1:7" ht="12.75" customHeight="1">
      <c r="A27" s="42" t="s">
        <v>32</v>
      </c>
      <c r="B27" s="13">
        <f>[1]Eelarvearuanne!H40+[1]Eelarvearuanne!H42</f>
        <v>0</v>
      </c>
      <c r="C27" s="13">
        <f>[1]Eelarvearuanne!D40+[1]Eelarvearuanne!D42</f>
        <v>0</v>
      </c>
      <c r="D27" s="10"/>
      <c r="E27" s="10"/>
      <c r="F27" s="10"/>
      <c r="G27" s="11"/>
    </row>
    <row r="28" spans="1:7" ht="12.75" customHeight="1">
      <c r="A28" s="42" t="s">
        <v>33</v>
      </c>
      <c r="B28" s="13">
        <f>[1]Eelarvearuanne!H41+[1]Eelarvearuanne!H43</f>
        <v>0</v>
      </c>
      <c r="C28" s="13">
        <f>[1]Eelarvearuanne!D41+[1]Eelarvearuanne!D43</f>
        <v>0</v>
      </c>
      <c r="D28" s="10"/>
      <c r="E28" s="10"/>
      <c r="F28" s="10"/>
      <c r="G28" s="11"/>
    </row>
    <row r="29" spans="1:7" ht="12.75" customHeight="1">
      <c r="A29" s="43" t="s">
        <v>34</v>
      </c>
      <c r="B29" s="44">
        <f>[1]Eelarvearuanne!H44</f>
        <v>0</v>
      </c>
      <c r="C29" s="44">
        <f>[1]Eelarvearuanne!D44</f>
        <v>0</v>
      </c>
      <c r="D29" s="10"/>
      <c r="E29" s="10"/>
      <c r="F29" s="10"/>
      <c r="G29" s="11"/>
    </row>
    <row r="30" spans="1:7" ht="12.75" customHeight="1">
      <c r="A30" s="42" t="s">
        <v>35</v>
      </c>
      <c r="B30" s="13">
        <f>[1]Eelarvearuanne!H45</f>
        <v>0</v>
      </c>
      <c r="C30" s="13">
        <f>[1]Eelarvearuanne!D45</f>
        <v>0</v>
      </c>
      <c r="D30" s="45"/>
      <c r="E30" s="10"/>
      <c r="F30" s="10"/>
      <c r="G30" s="11"/>
    </row>
    <row r="31" spans="1:7" ht="12.75" customHeight="1">
      <c r="A31" s="46" t="s">
        <v>36</v>
      </c>
      <c r="B31" s="47">
        <f>[1]Eelarvearuanne!H46</f>
        <v>2685.29</v>
      </c>
      <c r="C31" s="47">
        <f>[1]Eelarvearuanne!D46</f>
        <v>15000</v>
      </c>
      <c r="D31" s="10">
        <v>2000</v>
      </c>
      <c r="E31" s="10">
        <v>2000</v>
      </c>
      <c r="F31" s="10">
        <v>2000</v>
      </c>
      <c r="G31" s="10">
        <v>2000</v>
      </c>
    </row>
    <row r="32" spans="1:7">
      <c r="A32" s="46" t="s">
        <v>37</v>
      </c>
      <c r="B32" s="13">
        <f>[1]Eelarvearuanne!H47</f>
        <v>-302668.79999999999</v>
      </c>
      <c r="C32" s="13">
        <f>[1]Eelarvearuanne!D47</f>
        <v>-420000</v>
      </c>
      <c r="D32" s="10">
        <v>-432000</v>
      </c>
      <c r="E32" s="10">
        <v>-450000</v>
      </c>
      <c r="F32" s="10">
        <v>-500000</v>
      </c>
      <c r="G32" s="11">
        <v>-550000</v>
      </c>
    </row>
    <row r="33" spans="1:7" ht="13">
      <c r="A33" s="48" t="s">
        <v>38</v>
      </c>
      <c r="B33" s="29">
        <f t="shared" ref="B33:G33" si="7">B20+B21</f>
        <v>-3246742.6799999969</v>
      </c>
      <c r="C33" s="30">
        <f t="shared" si="7"/>
        <v>-542651</v>
      </c>
      <c r="D33" s="30">
        <f>D20+D21</f>
        <v>-228009</v>
      </c>
      <c r="E33" s="30">
        <f t="shared" si="7"/>
        <v>-212604</v>
      </c>
      <c r="F33" s="30">
        <f t="shared" si="7"/>
        <v>-162604</v>
      </c>
      <c r="G33" s="31">
        <f t="shared" si="7"/>
        <v>-482604</v>
      </c>
    </row>
    <row r="34" spans="1:7" ht="13">
      <c r="A34" s="48" t="s">
        <v>39</v>
      </c>
      <c r="B34" s="29">
        <f t="shared" ref="B34:G34" si="8">B35+B36</f>
        <v>2702521.58</v>
      </c>
      <c r="C34" s="30">
        <f t="shared" si="8"/>
        <v>340000</v>
      </c>
      <c r="D34" s="30">
        <f t="shared" si="8"/>
        <v>-220000</v>
      </c>
      <c r="E34" s="30">
        <f t="shared" si="8"/>
        <v>215000</v>
      </c>
      <c r="F34" s="30">
        <f t="shared" si="8"/>
        <v>180000</v>
      </c>
      <c r="G34" s="31">
        <f t="shared" si="8"/>
        <v>600000</v>
      </c>
    </row>
    <row r="35" spans="1:7">
      <c r="A35" s="49" t="s">
        <v>40</v>
      </c>
      <c r="B35" s="13">
        <f>[1]Eelarvearuanne!H50</f>
        <v>3230000</v>
      </c>
      <c r="C35" s="13">
        <f>[1]Eelarvearuanne!D50</f>
        <v>1070000</v>
      </c>
      <c r="D35" s="10">
        <v>500000</v>
      </c>
      <c r="E35" s="10">
        <v>1000000</v>
      </c>
      <c r="F35" s="10">
        <v>1000000</v>
      </c>
      <c r="G35" s="11">
        <v>1500000</v>
      </c>
    </row>
    <row r="36" spans="1:7">
      <c r="A36" s="49" t="s">
        <v>41</v>
      </c>
      <c r="B36" s="13">
        <f>[1]Eelarvearuanne!H51</f>
        <v>-527478.42000000004</v>
      </c>
      <c r="C36" s="13">
        <f>[1]Eelarvearuanne!D51</f>
        <v>-730000</v>
      </c>
      <c r="D36" s="10">
        <v>-720000</v>
      </c>
      <c r="E36" s="10">
        <v>-785000</v>
      </c>
      <c r="F36" s="10">
        <v>-820000</v>
      </c>
      <c r="G36" s="11">
        <v>-900000</v>
      </c>
    </row>
    <row r="37" spans="1:7" ht="26">
      <c r="A37" s="50" t="s">
        <v>42</v>
      </c>
      <c r="B37" s="13">
        <f>[1]Eelarvearuanne!H52</f>
        <v>-86966.000000000102</v>
      </c>
      <c r="C37" s="51">
        <f>[1]Eelarvearuanne!D52</f>
        <v>-202651</v>
      </c>
      <c r="D37" s="52">
        <f>D33+D34+D38</f>
        <v>-448009</v>
      </c>
      <c r="E37" s="53">
        <f>E33+E34+E38</f>
        <v>2396</v>
      </c>
      <c r="F37" s="54">
        <f>F33+F34+F38</f>
        <v>17396</v>
      </c>
      <c r="G37" s="55">
        <f>G33+G34+G38</f>
        <v>117396</v>
      </c>
    </row>
    <row r="38" spans="1:7" ht="26">
      <c r="A38" s="50" t="s">
        <v>43</v>
      </c>
      <c r="B38" s="13">
        <f>[1]Eelarvearuanne!H53</f>
        <v>457255.10000000201</v>
      </c>
      <c r="C38" s="13">
        <f>[1]Eelarvearuanne!D53</f>
        <v>0</v>
      </c>
      <c r="D38" s="56">
        <f>D39+D40</f>
        <v>0</v>
      </c>
      <c r="E38" s="56">
        <f>E39+E40</f>
        <v>0</v>
      </c>
      <c r="F38" s="56">
        <f>F39+F40</f>
        <v>0</v>
      </c>
      <c r="G38" s="57">
        <f>G39+G40</f>
        <v>0</v>
      </c>
    </row>
    <row r="39" spans="1:7">
      <c r="A39" s="58" t="s">
        <v>44</v>
      </c>
      <c r="B39" s="13"/>
      <c r="C39" s="13"/>
      <c r="D39" s="59"/>
      <c r="E39" s="59"/>
      <c r="F39" s="59"/>
      <c r="G39" s="60"/>
    </row>
    <row r="40" spans="1:7">
      <c r="A40" s="61" t="s">
        <v>45</v>
      </c>
      <c r="B40" s="62"/>
      <c r="C40" s="62"/>
      <c r="D40" s="10"/>
      <c r="E40" s="10"/>
      <c r="F40" s="10"/>
      <c r="G40" s="11"/>
    </row>
    <row r="41" spans="1:7" ht="13.5" customHeight="1">
      <c r="A41" s="63" t="s">
        <v>46</v>
      </c>
      <c r="B41" s="64">
        <f>[1]Eelarvearuanne!H158</f>
        <v>651440.9</v>
      </c>
      <c r="C41" s="65">
        <f>B41+C37</f>
        <v>448789.9</v>
      </c>
      <c r="D41" s="66">
        <f>C41+D37</f>
        <v>780.90000000002328</v>
      </c>
      <c r="E41" s="67">
        <f>D41+E37</f>
        <v>3176.9000000000233</v>
      </c>
      <c r="F41" s="68">
        <f>E41+F37</f>
        <v>20572.900000000023</v>
      </c>
      <c r="G41" s="69">
        <f>F41+G37</f>
        <v>137968.90000000002</v>
      </c>
    </row>
    <row r="42" spans="1:7" ht="26">
      <c r="A42" s="50" t="s">
        <v>47</v>
      </c>
      <c r="B42" s="70">
        <f>[1]Eelarvearuanne!H156</f>
        <v>10562686.199999999</v>
      </c>
      <c r="C42" s="41">
        <f>B42+C34+C43-B43</f>
        <v>10886285.199999999</v>
      </c>
      <c r="D42" s="41">
        <f>C42+D34+D43-C43</f>
        <v>10652369.199999999</v>
      </c>
      <c r="E42" s="41">
        <f>D42+E34+E43-D43</f>
        <v>10853950.199999999</v>
      </c>
      <c r="F42" s="41">
        <f>E42+F34+F43-E43</f>
        <v>11023777.199999999</v>
      </c>
      <c r="G42" s="71">
        <f>F42+G34+G43-F43</f>
        <v>11623777.199999999</v>
      </c>
    </row>
    <row r="43" spans="1:7" ht="34.5" customHeight="1">
      <c r="A43" s="72" t="s">
        <v>48</v>
      </c>
      <c r="B43" s="24">
        <v>53909</v>
      </c>
      <c r="C43" s="24">
        <f>B43-C18</f>
        <v>37508</v>
      </c>
      <c r="D43" s="25">
        <f>C43-D18</f>
        <v>23592</v>
      </c>
      <c r="E43" s="25">
        <f>D43-E18</f>
        <v>10173</v>
      </c>
      <c r="F43" s="25">
        <f>E43-F18</f>
        <v>0</v>
      </c>
      <c r="G43" s="26">
        <f>F43-G18</f>
        <v>0</v>
      </c>
    </row>
    <row r="44" spans="1:7" ht="20.5">
      <c r="A44" s="72" t="s">
        <v>49</v>
      </c>
      <c r="B44" s="73">
        <f>[1]Eelarvearuanne!H157</f>
        <v>0</v>
      </c>
      <c r="C44" s="73">
        <f>[1]Eelarvearuanne!D157</f>
        <v>0</v>
      </c>
      <c r="D44" s="10"/>
      <c r="E44" s="10"/>
      <c r="F44" s="10"/>
      <c r="G44" s="74"/>
    </row>
    <row r="45" spans="1:7" ht="13">
      <c r="A45" s="75" t="s">
        <v>50</v>
      </c>
      <c r="B45" s="14">
        <f t="shared" ref="B45:G45" si="9">IF(B42-B41&lt;0,0,B42-B41)</f>
        <v>9911245.2999999989</v>
      </c>
      <c r="C45" s="14">
        <f>IF(C42-C41&lt;0,0,C42-C41)</f>
        <v>10437495.299999999</v>
      </c>
      <c r="D45" s="14">
        <f t="shared" si="9"/>
        <v>10651588.299999999</v>
      </c>
      <c r="E45" s="14">
        <f t="shared" si="9"/>
        <v>10850773.299999999</v>
      </c>
      <c r="F45" s="14">
        <f t="shared" si="9"/>
        <v>11003204.299999999</v>
      </c>
      <c r="G45" s="8">
        <f t="shared" si="9"/>
        <v>11485808.299999999</v>
      </c>
    </row>
    <row r="46" spans="1:7" ht="13">
      <c r="A46" s="75" t="s">
        <v>51</v>
      </c>
      <c r="B46" s="76">
        <f t="shared" ref="B46:G46" si="10">B45/B2</f>
        <v>0.61775269860435333</v>
      </c>
      <c r="C46" s="77">
        <f t="shared" si="10"/>
        <v>0.63648887636474705</v>
      </c>
      <c r="D46" s="77">
        <f t="shared" si="10"/>
        <v>0.62265480763098446</v>
      </c>
      <c r="E46" s="77">
        <f t="shared" si="10"/>
        <v>0.61663574330936799</v>
      </c>
      <c r="F46" s="77">
        <f t="shared" si="10"/>
        <v>0.60936856732262323</v>
      </c>
      <c r="G46" s="78">
        <f t="shared" si="10"/>
        <v>0.61962426384673752</v>
      </c>
    </row>
    <row r="47" spans="1:7" ht="26">
      <c r="A47" s="75" t="s">
        <v>52</v>
      </c>
      <c r="B47" s="14">
        <f>IF((B20+B18)*9&gt;B2,B2+B44,IF((B20+B18)*9&lt;0.75*B2,0.75*B2+B44,(B20+B18)*9+B44))</f>
        <v>12033025.500000002</v>
      </c>
      <c r="C47" s="7">
        <f>IF((C20+C18)*8&gt;C2,C2+C44,IF((C20+C18)*8&lt;0.7*C2,0.7*C2+C44,(C20+C18)*8+C44))</f>
        <v>11478985.699999999</v>
      </c>
      <c r="D47" s="7">
        <f>IF((D20+D18)*8&gt;D2,D2+D44,IF((D20+D18)*8&lt;0.7*D2,0.7*D2+D44,(D20+D18)*8+D44))</f>
        <v>11974711.699999999</v>
      </c>
      <c r="E47" s="7">
        <f>IF((E20+E18)*8&gt;E2,E2+E44,IF((E20+E18)*8&lt;0.6*E2,0.6*E2+E44,(E20+E18)*8+E44))</f>
        <v>12790520</v>
      </c>
      <c r="F47" s="7">
        <f>IF((F20+F18)*8&gt;F2,F2+F44,IF((F20+F18)*8&lt;0.6*F2,0.6*F2+F44,(F20+F18)*8+F44))</f>
        <v>15964552</v>
      </c>
      <c r="G47" s="79">
        <f>IF((G20+G18)*8&gt;G2,G2+G44,IF((G20+G18)*8&lt;0.6*G2,0.6*G2+G44,(G20+G18)*8+G44))</f>
        <v>15323168</v>
      </c>
    </row>
    <row r="48" spans="1:7" ht="13.5" customHeight="1">
      <c r="A48" s="75" t="s">
        <v>53</v>
      </c>
      <c r="B48" s="77">
        <f t="shared" ref="B48:G48" si="11">B47/B2</f>
        <v>0.75</v>
      </c>
      <c r="C48" s="77">
        <f t="shared" si="11"/>
        <v>0.7</v>
      </c>
      <c r="D48" s="77">
        <f t="shared" si="11"/>
        <v>0.7</v>
      </c>
      <c r="E48" s="77">
        <f t="shared" si="11"/>
        <v>0.72686909858427684</v>
      </c>
      <c r="F48" s="77">
        <f t="shared" si="11"/>
        <v>0.88413301388828358</v>
      </c>
      <c r="G48" s="78">
        <f t="shared" si="11"/>
        <v>0.82663809492623053</v>
      </c>
    </row>
    <row r="49" spans="1:7" ht="13">
      <c r="A49" s="75" t="s">
        <v>54</v>
      </c>
      <c r="B49" s="7">
        <f t="shared" ref="B49:G49" si="12">B47-B45</f>
        <v>2121780.200000003</v>
      </c>
      <c r="C49" s="7">
        <f t="shared" si="12"/>
        <v>1041490.4000000004</v>
      </c>
      <c r="D49" s="7">
        <f t="shared" si="12"/>
        <v>1323123.4000000004</v>
      </c>
      <c r="E49" s="7">
        <f t="shared" si="12"/>
        <v>1939746.7000000011</v>
      </c>
      <c r="F49" s="7">
        <f t="shared" si="12"/>
        <v>4961347.7000000011</v>
      </c>
      <c r="G49" s="8">
        <f t="shared" si="12"/>
        <v>3837359.7000000011</v>
      </c>
    </row>
    <row r="50" spans="1:7">
      <c r="A50" s="80"/>
      <c r="B50" s="81"/>
      <c r="C50" s="82"/>
      <c r="D50" s="82"/>
      <c r="E50" s="82"/>
      <c r="F50" s="82"/>
      <c r="G50" s="83"/>
    </row>
    <row r="51" spans="1:7" s="27" customFormat="1" ht="13.5" thickBot="1">
      <c r="A51" s="84" t="s">
        <v>55</v>
      </c>
      <c r="B51" s="85">
        <f t="shared" ref="B51:G51" si="13">B33+B34-B37+B38</f>
        <v>5.2968971431255341E-9</v>
      </c>
      <c r="C51" s="85">
        <f>C33+C34-C37+C38</f>
        <v>0</v>
      </c>
      <c r="D51" s="85">
        <f>D33+D34-D37+D38</f>
        <v>0</v>
      </c>
      <c r="E51" s="85">
        <f t="shared" si="13"/>
        <v>0</v>
      </c>
      <c r="F51" s="85">
        <f t="shared" si="13"/>
        <v>0</v>
      </c>
      <c r="G51" s="86">
        <f t="shared" si="13"/>
        <v>0</v>
      </c>
    </row>
    <row r="52" spans="1:7" s="89" customFormat="1" ht="10">
      <c r="A52" s="87" t="s">
        <v>56</v>
      </c>
      <c r="B52" s="88" t="str">
        <f t="shared" ref="B52:G52" si="14">IF((-B24-B26-B28-B30)&lt;B35,"FALSE","OK")</f>
        <v>OK</v>
      </c>
      <c r="C52" s="88" t="str">
        <f>IF((-C24-C26-C28-C30)&lt;C35,"FALSE","OK")</f>
        <v>OK</v>
      </c>
      <c r="D52" s="88" t="str">
        <f t="shared" si="14"/>
        <v>OK</v>
      </c>
      <c r="E52" s="88" t="str">
        <f t="shared" si="14"/>
        <v>OK</v>
      </c>
      <c r="F52" s="88" t="str">
        <f t="shared" si="14"/>
        <v>OK</v>
      </c>
      <c r="G52" s="88" t="str">
        <f t="shared" si="14"/>
        <v>OK</v>
      </c>
    </row>
    <row r="53" spans="1:7">
      <c r="A53" s="90" t="s">
        <v>57</v>
      </c>
      <c r="B53" s="91" t="s">
        <v>58</v>
      </c>
      <c r="C53" s="92">
        <f>C2/B2-1</f>
        <v>2.2096500169471067E-2</v>
      </c>
      <c r="D53" s="92">
        <f>D2/C2-1</f>
        <v>4.3185522916018515E-2</v>
      </c>
      <c r="E53" s="92">
        <f>E2/D2-1</f>
        <v>2.8643695864510876E-2</v>
      </c>
      <c r="F53" s="92">
        <f>F2/E2-1</f>
        <v>2.6141219070746624E-2</v>
      </c>
      <c r="G53" s="92">
        <f>G2/F2-1</f>
        <v>2.6582884797918371E-2</v>
      </c>
    </row>
    <row r="54" spans="1:7">
      <c r="A54" s="90" t="s">
        <v>59</v>
      </c>
      <c r="B54" s="91" t="s">
        <v>58</v>
      </c>
      <c r="C54" s="92">
        <f>C13/B13-1</f>
        <v>3.8357982159149318E-2</v>
      </c>
      <c r="D54" s="92">
        <f>D13/C13-1</f>
        <v>4.157066768026807E-2</v>
      </c>
      <c r="E54" s="92">
        <f>E13/D13-1</f>
        <v>3.6101252747005041E-3</v>
      </c>
      <c r="F54" s="92">
        <f>F13/E13-1</f>
        <v>3.7473452401064478E-3</v>
      </c>
      <c r="G54" s="92">
        <f>G13/F13-1</f>
        <v>3.4222421472765108E-2</v>
      </c>
    </row>
    <row r="55" spans="1:7">
      <c r="A55" s="90" t="s">
        <v>60</v>
      </c>
      <c r="B55" s="93">
        <f t="shared" ref="B55:G55" si="15">B2/B13</f>
        <v>1.0876443555947037</v>
      </c>
      <c r="C55" s="93">
        <f t="shared" si="15"/>
        <v>1.0706110112148579</v>
      </c>
      <c r="D55" s="93">
        <f t="shared" si="15"/>
        <v>1.0722708907127734</v>
      </c>
      <c r="E55" s="93">
        <f t="shared" si="15"/>
        <v>1.0990171025713971</v>
      </c>
      <c r="F55" s="93">
        <f t="shared" si="15"/>
        <v>1.1235364703678941</v>
      </c>
      <c r="G55" s="93">
        <f t="shared" si="15"/>
        <v>1.1152371936429897</v>
      </c>
    </row>
    <row r="56" spans="1:7" ht="25.5" customHeight="1" thickBot="1">
      <c r="A56" s="94" t="s">
        <v>61</v>
      </c>
      <c r="B56" s="88"/>
      <c r="C56" s="88"/>
      <c r="D56" s="88" t="str">
        <f>IF(D20&lt;-D32,"FALSE","OK")</f>
        <v>OK</v>
      </c>
      <c r="E56" s="88" t="str">
        <f>IF(E20&lt;-E32,"FALSE","OK")</f>
        <v>OK</v>
      </c>
      <c r="F56" s="88" t="str">
        <f>IF(F20&lt;-F32,"FALSE","OK")</f>
        <v>OK</v>
      </c>
      <c r="G56" s="88" t="str">
        <f>IF(G20&lt;-G32,"FALSE","OK")</f>
        <v>OK</v>
      </c>
    </row>
    <row r="57" spans="1:7" ht="42.75" customHeight="1" thickBot="1">
      <c r="A57" s="95" t="s">
        <v>62</v>
      </c>
      <c r="B57" s="2"/>
      <c r="C57" s="2" t="s">
        <v>2</v>
      </c>
      <c r="D57" s="2" t="s">
        <v>3</v>
      </c>
      <c r="E57" s="2" t="s">
        <v>4</v>
      </c>
      <c r="F57" s="2" t="s">
        <v>5</v>
      </c>
      <c r="G57" s="2" t="s">
        <v>6</v>
      </c>
    </row>
    <row r="58" spans="1:7" ht="13">
      <c r="A58" s="96" t="s">
        <v>63</v>
      </c>
      <c r="B58" s="97"/>
      <c r="C58" s="97">
        <f>SUM(C59:C60)</f>
        <v>40000</v>
      </c>
      <c r="D58" s="97">
        <f>SUM(D59:D60)</f>
        <v>230000</v>
      </c>
      <c r="E58" s="97">
        <f>SUM(E59:E60)</f>
        <v>0</v>
      </c>
      <c r="F58" s="97">
        <f>SUM(F59:F60)</f>
        <v>0</v>
      </c>
      <c r="G58" s="98">
        <f>SUM(G59:G60)</f>
        <v>0</v>
      </c>
    </row>
    <row r="59" spans="1:7">
      <c r="A59" s="99" t="s">
        <v>64</v>
      </c>
      <c r="B59" s="41"/>
      <c r="C59" s="10"/>
      <c r="D59" s="10">
        <v>200000</v>
      </c>
      <c r="E59" s="10"/>
      <c r="F59" s="10"/>
      <c r="G59" s="11"/>
    </row>
    <row r="60" spans="1:7">
      <c r="A60" s="99" t="s">
        <v>65</v>
      </c>
      <c r="B60" s="41"/>
      <c r="C60" s="10">
        <v>40000</v>
      </c>
      <c r="D60" s="10">
        <v>30000</v>
      </c>
      <c r="E60" s="10"/>
      <c r="F60" s="10"/>
      <c r="G60" s="11"/>
    </row>
    <row r="61" spans="1:7" ht="14.15" customHeight="1">
      <c r="A61" s="96" t="s">
        <v>66</v>
      </c>
      <c r="B61" s="97"/>
      <c r="C61" s="97">
        <f>SUM(C62:C63)</f>
        <v>0</v>
      </c>
      <c r="D61" s="97">
        <f>SUM(D62:D63)</f>
        <v>0</v>
      </c>
      <c r="E61" s="97">
        <f>SUM(E62:E63)</f>
        <v>0</v>
      </c>
      <c r="F61" s="97">
        <f>SUM(F62:F63)</f>
        <v>0</v>
      </c>
      <c r="G61" s="98">
        <f>SUM(G62:G63)</f>
        <v>0</v>
      </c>
    </row>
    <row r="62" spans="1:7" ht="14.15" customHeight="1">
      <c r="A62" s="99" t="s">
        <v>64</v>
      </c>
      <c r="B62" s="41"/>
      <c r="C62" s="10"/>
      <c r="D62" s="10"/>
      <c r="E62" s="10"/>
      <c r="F62" s="10"/>
      <c r="G62" s="11"/>
    </row>
    <row r="63" spans="1:7" ht="14.15" customHeight="1">
      <c r="A63" s="99" t="s">
        <v>65</v>
      </c>
      <c r="B63" s="41"/>
      <c r="C63" s="10"/>
      <c r="D63" s="10"/>
      <c r="E63" s="10"/>
      <c r="F63" s="10"/>
      <c r="G63" s="11"/>
    </row>
    <row r="64" spans="1:7" ht="14.15" customHeight="1">
      <c r="A64" s="96" t="s">
        <v>67</v>
      </c>
      <c r="B64" s="97"/>
      <c r="C64" s="97">
        <f>SUM(C65:C66)</f>
        <v>0</v>
      </c>
      <c r="D64" s="97">
        <f>SUM(D65:D66)</f>
        <v>0</v>
      </c>
      <c r="E64" s="97">
        <f>SUM(E65:E66)</f>
        <v>0</v>
      </c>
      <c r="F64" s="97">
        <f>SUM(F65:F66)</f>
        <v>0</v>
      </c>
      <c r="G64" s="98">
        <f>SUM(G65:G66)</f>
        <v>0</v>
      </c>
    </row>
    <row r="65" spans="1:7" ht="14.15" customHeight="1">
      <c r="A65" s="99" t="s">
        <v>64</v>
      </c>
      <c r="B65" s="41"/>
      <c r="C65" s="10"/>
      <c r="D65" s="10"/>
      <c r="E65" s="10"/>
      <c r="F65" s="10"/>
      <c r="G65" s="11"/>
    </row>
    <row r="66" spans="1:7" ht="14.15" customHeight="1">
      <c r="A66" s="99" t="s">
        <v>65</v>
      </c>
      <c r="B66" s="41"/>
      <c r="C66" s="10"/>
      <c r="D66" s="10"/>
      <c r="E66" s="10"/>
      <c r="F66" s="10"/>
      <c r="G66" s="11"/>
    </row>
    <row r="67" spans="1:7" ht="14.15" customHeight="1">
      <c r="A67" s="96" t="s">
        <v>68</v>
      </c>
      <c r="B67" s="97"/>
      <c r="C67" s="97">
        <f>SUM(C68:C69)</f>
        <v>1103841</v>
      </c>
      <c r="D67" s="97">
        <f>SUM(D68:D69)</f>
        <v>336000</v>
      </c>
      <c r="E67" s="97">
        <f>SUM(E68:E69)</f>
        <v>300000</v>
      </c>
      <c r="F67" s="97">
        <f>SUM(F68:F69)</f>
        <v>300000</v>
      </c>
      <c r="G67" s="98">
        <f>SUM(G68:G69)</f>
        <v>300000</v>
      </c>
    </row>
    <row r="68" spans="1:7" ht="14.15" customHeight="1">
      <c r="A68" s="99" t="s">
        <v>64</v>
      </c>
      <c r="B68" s="41"/>
      <c r="C68" s="10">
        <f>117500+200000+127141</f>
        <v>444641</v>
      </c>
      <c r="D68" s="10"/>
      <c r="E68" s="10"/>
      <c r="F68" s="10"/>
      <c r="G68" s="11"/>
    </row>
    <row r="69" spans="1:7" ht="14.15" customHeight="1">
      <c r="A69" s="99" t="s">
        <v>65</v>
      </c>
      <c r="B69" s="41"/>
      <c r="C69" s="10">
        <f>285000+221000+118200+35000</f>
        <v>659200</v>
      </c>
      <c r="D69" s="10">
        <f>260000+66000+10000</f>
        <v>336000</v>
      </c>
      <c r="E69" s="10">
        <v>300000</v>
      </c>
      <c r="F69" s="10">
        <v>300000</v>
      </c>
      <c r="G69" s="10">
        <v>300000</v>
      </c>
    </row>
    <row r="70" spans="1:7" ht="14.15" customHeight="1">
      <c r="A70" s="96" t="s">
        <v>69</v>
      </c>
      <c r="B70" s="41"/>
      <c r="C70" s="97">
        <f>SUM(C71:C72)</f>
        <v>0</v>
      </c>
      <c r="D70" s="97">
        <f>SUM(D71:D72)</f>
        <v>0</v>
      </c>
      <c r="E70" s="97">
        <f>SUM(E71:E72)</f>
        <v>0</v>
      </c>
      <c r="F70" s="97">
        <f>SUM(F71:F72)</f>
        <v>0</v>
      </c>
      <c r="G70" s="98">
        <f>SUM(G71:G72)</f>
        <v>0</v>
      </c>
    </row>
    <row r="71" spans="1:7" ht="14.15" customHeight="1">
      <c r="A71" s="99" t="s">
        <v>64</v>
      </c>
      <c r="B71" s="41"/>
      <c r="C71" s="10"/>
      <c r="D71" s="10"/>
      <c r="E71" s="10"/>
      <c r="F71" s="10"/>
      <c r="G71" s="11"/>
    </row>
    <row r="72" spans="1:7">
      <c r="A72" s="99" t="s">
        <v>65</v>
      </c>
      <c r="B72" s="41"/>
      <c r="C72" s="10"/>
      <c r="D72" s="10"/>
      <c r="E72" s="10"/>
      <c r="F72" s="10"/>
      <c r="G72" s="11"/>
    </row>
    <row r="73" spans="1:7" ht="13">
      <c r="A73" s="96" t="s">
        <v>70</v>
      </c>
      <c r="B73" s="41"/>
      <c r="C73" s="97">
        <f>SUM(C74:C75)</f>
        <v>20000</v>
      </c>
      <c r="D73" s="97">
        <f>SUM(D74:D75)</f>
        <v>10000</v>
      </c>
      <c r="E73" s="97">
        <f>SUM(E74:E75)</f>
        <v>10000</v>
      </c>
      <c r="F73" s="97">
        <f>SUM(F74:F75)</f>
        <v>10000</v>
      </c>
      <c r="G73" s="98">
        <f>SUM(G74:G75)</f>
        <v>10000</v>
      </c>
    </row>
    <row r="74" spans="1:7">
      <c r="A74" s="99" t="s">
        <v>64</v>
      </c>
      <c r="B74" s="41"/>
      <c r="C74" s="10"/>
      <c r="D74" s="10"/>
      <c r="E74" s="10"/>
      <c r="F74" s="10"/>
      <c r="G74" s="11"/>
    </row>
    <row r="75" spans="1:7">
      <c r="A75" s="99" t="s">
        <v>65</v>
      </c>
      <c r="B75" s="41"/>
      <c r="C75" s="10">
        <v>20000</v>
      </c>
      <c r="D75" s="10">
        <f>10000</f>
        <v>10000</v>
      </c>
      <c r="E75" s="10">
        <v>10000</v>
      </c>
      <c r="F75" s="10">
        <v>10000</v>
      </c>
      <c r="G75" s="11">
        <v>10000</v>
      </c>
    </row>
    <row r="76" spans="1:7" ht="13">
      <c r="A76" s="96" t="s">
        <v>71</v>
      </c>
      <c r="B76" s="41"/>
      <c r="C76" s="97">
        <f>SUM(C77:C78)</f>
        <v>0</v>
      </c>
      <c r="D76" s="97">
        <f>SUM(D77:D78)</f>
        <v>0</v>
      </c>
      <c r="E76" s="97">
        <f>SUM(E77:E78)</f>
        <v>0</v>
      </c>
      <c r="F76" s="97">
        <f>SUM(F77:F78)</f>
        <v>0</v>
      </c>
      <c r="G76" s="98">
        <f>SUM(G77:G78)</f>
        <v>0</v>
      </c>
    </row>
    <row r="77" spans="1:7">
      <c r="A77" s="99" t="s">
        <v>64</v>
      </c>
      <c r="B77" s="41"/>
      <c r="C77" s="10"/>
      <c r="D77" s="10"/>
      <c r="E77" s="10"/>
      <c r="F77" s="10"/>
      <c r="G77" s="11"/>
    </row>
    <row r="78" spans="1:7">
      <c r="A78" s="99" t="s">
        <v>65</v>
      </c>
      <c r="B78" s="41"/>
      <c r="C78" s="10"/>
      <c r="D78" s="10"/>
      <c r="E78" s="10"/>
      <c r="F78" s="10"/>
      <c r="G78" s="11"/>
    </row>
    <row r="79" spans="1:7" ht="13">
      <c r="A79" s="96" t="s">
        <v>72</v>
      </c>
      <c r="B79" s="41"/>
      <c r="C79" s="97">
        <f>SUM(C80:C81)</f>
        <v>0</v>
      </c>
      <c r="D79" s="97">
        <f>SUM(D80:D81)</f>
        <v>65000</v>
      </c>
      <c r="E79" s="97">
        <f>SUM(E80:E81)</f>
        <v>0</v>
      </c>
      <c r="F79" s="97">
        <f>SUM(F80:F81)</f>
        <v>0</v>
      </c>
      <c r="G79" s="98">
        <f>SUM(G80:G81)</f>
        <v>0</v>
      </c>
    </row>
    <row r="80" spans="1:7">
      <c r="A80" s="99" t="s">
        <v>64</v>
      </c>
      <c r="B80" s="41"/>
      <c r="C80" s="10"/>
      <c r="D80" s="10"/>
      <c r="E80" s="10"/>
      <c r="F80" s="10"/>
      <c r="G80" s="11"/>
    </row>
    <row r="81" spans="1:7">
      <c r="A81" s="99" t="s">
        <v>65</v>
      </c>
      <c r="B81" s="41"/>
      <c r="C81" s="10"/>
      <c r="D81" s="10">
        <f>15000+50000</f>
        <v>65000</v>
      </c>
      <c r="E81" s="10"/>
      <c r="F81" s="10"/>
      <c r="G81" s="11"/>
    </row>
    <row r="82" spans="1:7" ht="13">
      <c r="A82" s="96" t="s">
        <v>73</v>
      </c>
      <c r="B82" s="41"/>
      <c r="C82" s="97">
        <f>SUM(C83:C84)</f>
        <v>400000</v>
      </c>
      <c r="D82" s="97">
        <f>SUM(D83:D84)</f>
        <v>805000</v>
      </c>
      <c r="E82" s="97">
        <f>SUM(E83:E84)</f>
        <v>2320000</v>
      </c>
      <c r="F82" s="97">
        <f>SUM(F83:F84)</f>
        <v>2480000</v>
      </c>
      <c r="G82" s="98">
        <f>SUM(G83:G84)</f>
        <v>1500000</v>
      </c>
    </row>
    <row r="83" spans="1:7">
      <c r="A83" s="99" t="s">
        <v>64</v>
      </c>
      <c r="B83" s="41"/>
      <c r="C83" s="10"/>
      <c r="D83" s="10">
        <v>350000</v>
      </c>
      <c r="E83" s="10">
        <v>1320000</v>
      </c>
      <c r="F83" s="10">
        <v>1180000</v>
      </c>
      <c r="G83" s="11"/>
    </row>
    <row r="84" spans="1:7">
      <c r="A84" s="99" t="s">
        <v>65</v>
      </c>
      <c r="B84" s="41"/>
      <c r="C84" s="10">
        <f>60000+15000+315000+10000</f>
        <v>400000</v>
      </c>
      <c r="D84" s="10">
        <f>455000</f>
        <v>455000</v>
      </c>
      <c r="E84" s="10">
        <v>1000000</v>
      </c>
      <c r="F84" s="10">
        <f>450000+850000</f>
        <v>1300000</v>
      </c>
      <c r="G84" s="11">
        <v>1500000</v>
      </c>
    </row>
    <row r="85" spans="1:7" ht="13">
      <c r="A85" s="96" t="s">
        <v>74</v>
      </c>
      <c r="B85" s="97"/>
      <c r="C85" s="97">
        <f>SUM(C86:C87)</f>
        <v>0</v>
      </c>
      <c r="D85" s="97">
        <f>SUM(D86:D87)</f>
        <v>0</v>
      </c>
      <c r="E85" s="97">
        <f>SUM(E86:E87)</f>
        <v>0</v>
      </c>
      <c r="F85" s="97">
        <f>SUM(F86:F87)</f>
        <v>0</v>
      </c>
      <c r="G85" s="98">
        <f>SUM(G86:G87)</f>
        <v>0</v>
      </c>
    </row>
    <row r="86" spans="1:7">
      <c r="A86" s="99" t="s">
        <v>64</v>
      </c>
      <c r="B86" s="41"/>
      <c r="C86" s="10"/>
      <c r="D86" s="10"/>
      <c r="E86" s="10"/>
      <c r="F86" s="10"/>
      <c r="G86" s="11"/>
    </row>
    <row r="87" spans="1:7" s="15" customFormat="1">
      <c r="A87" s="99" t="s">
        <v>65</v>
      </c>
      <c r="B87" s="41"/>
      <c r="C87" s="10"/>
      <c r="D87" s="10"/>
      <c r="E87" s="10"/>
      <c r="F87" s="10"/>
      <c r="G87" s="11"/>
    </row>
    <row r="88" spans="1:7" s="15" customFormat="1" ht="13">
      <c r="A88" s="100" t="s">
        <v>75</v>
      </c>
      <c r="B88" s="101"/>
      <c r="C88" s="101">
        <f>SUM(C89:C90)</f>
        <v>1563841</v>
      </c>
      <c r="D88" s="101">
        <f>SUM(D89:D90)</f>
        <v>1446000</v>
      </c>
      <c r="E88" s="101">
        <f>SUM(E89:E90)</f>
        <v>2630000</v>
      </c>
      <c r="F88" s="101">
        <f>SUM(F89:F90)</f>
        <v>2790000</v>
      </c>
      <c r="G88" s="102">
        <f>SUM(G89:G90)</f>
        <v>1810000</v>
      </c>
    </row>
    <row r="89" spans="1:7">
      <c r="A89" s="99" t="s">
        <v>64</v>
      </c>
      <c r="B89" s="41"/>
      <c r="C89" s="41">
        <f>C59+C62+C65+C68+C71+C74+C77+C80+C83+C86</f>
        <v>444641</v>
      </c>
      <c r="D89" s="41">
        <f t="shared" ref="D89:G90" si="16">D59+D62+D65+D68+D71+D74+D77+D80+D83+D86</f>
        <v>550000</v>
      </c>
      <c r="E89" s="41">
        <f t="shared" si="16"/>
        <v>1320000</v>
      </c>
      <c r="F89" s="41">
        <f t="shared" si="16"/>
        <v>1180000</v>
      </c>
      <c r="G89" s="71">
        <f t="shared" si="16"/>
        <v>0</v>
      </c>
    </row>
    <row r="90" spans="1:7" ht="13" thickBot="1">
      <c r="A90" s="103" t="s">
        <v>65</v>
      </c>
      <c r="B90" s="104"/>
      <c r="C90" s="105">
        <f>C60+C63+C66+C69+C72+C75+C78+C81+C84+C87</f>
        <v>1119200</v>
      </c>
      <c r="D90" s="105">
        <f t="shared" si="16"/>
        <v>896000</v>
      </c>
      <c r="E90" s="105">
        <f t="shared" si="16"/>
        <v>1310000</v>
      </c>
      <c r="F90" s="105">
        <f t="shared" si="16"/>
        <v>1610000</v>
      </c>
      <c r="G90" s="106">
        <f t="shared" si="16"/>
        <v>1810000</v>
      </c>
    </row>
    <row r="91" spans="1:7" ht="19.5" customHeight="1">
      <c r="A91" s="107" t="s">
        <v>76</v>
      </c>
      <c r="C91" s="108">
        <f>C23+C88</f>
        <v>0</v>
      </c>
      <c r="D91" s="108">
        <f>D23+D88</f>
        <v>0</v>
      </c>
      <c r="E91" s="108">
        <f>E23+E88</f>
        <v>0</v>
      </c>
      <c r="F91" s="108">
        <f>F23+F88</f>
        <v>0</v>
      </c>
      <c r="G91" s="108">
        <f>G23+G88</f>
        <v>0</v>
      </c>
    </row>
    <row r="92" spans="1:7" ht="13" thickBot="1"/>
    <row r="93" spans="1:7" ht="47" thickBot="1">
      <c r="A93" s="27" t="s">
        <v>77</v>
      </c>
      <c r="B93" s="109" t="s">
        <v>78</v>
      </c>
      <c r="C93" s="110" t="s">
        <v>79</v>
      </c>
      <c r="D93" s="110"/>
      <c r="E93" s="110"/>
      <c r="F93" s="110"/>
      <c r="G93" s="32"/>
    </row>
    <row r="94" spans="1:7" ht="13">
      <c r="A94" s="96" t="s">
        <v>80</v>
      </c>
      <c r="B94" s="111" t="s">
        <v>81</v>
      </c>
      <c r="C94" s="97">
        <f>SUM(C95:C96)</f>
        <v>0</v>
      </c>
      <c r="D94" s="97">
        <f>SUM(D95:D96)</f>
        <v>230000</v>
      </c>
      <c r="E94" s="97">
        <f>SUM(E95:E96)</f>
        <v>0</v>
      </c>
      <c r="F94" s="97">
        <f>SUM(F95:F96)</f>
        <v>0</v>
      </c>
      <c r="G94" s="98">
        <f>SUM(G95:G96)</f>
        <v>0</v>
      </c>
    </row>
    <row r="95" spans="1:7">
      <c r="A95" s="99" t="s">
        <v>82</v>
      </c>
      <c r="B95" s="112"/>
      <c r="C95" s="10"/>
      <c r="D95" s="113">
        <v>200000</v>
      </c>
      <c r="E95" s="113"/>
      <c r="F95" s="113"/>
      <c r="G95" s="113"/>
    </row>
    <row r="96" spans="1:7">
      <c r="A96" s="99" t="s">
        <v>65</v>
      </c>
      <c r="B96" s="112"/>
      <c r="C96" s="113"/>
      <c r="D96" s="113">
        <v>30000</v>
      </c>
      <c r="E96" s="113"/>
      <c r="F96" s="113"/>
      <c r="G96" s="113"/>
    </row>
    <row r="97" spans="1:7" ht="25.5" customHeight="1">
      <c r="A97" s="114" t="s">
        <v>83</v>
      </c>
      <c r="B97" s="111" t="s">
        <v>84</v>
      </c>
      <c r="C97" s="97">
        <f>SUM(C98:C99)</f>
        <v>0</v>
      </c>
      <c r="D97" s="97">
        <f>SUM(D99:D99)</f>
        <v>180000</v>
      </c>
      <c r="E97" s="97">
        <f>SUM(E98:E99)</f>
        <v>2320000</v>
      </c>
      <c r="F97" s="97">
        <f>SUM(F98:F99)</f>
        <v>2480000</v>
      </c>
      <c r="G97" s="98">
        <f>SUM(G98:G99)</f>
        <v>1500000</v>
      </c>
    </row>
    <row r="98" spans="1:7">
      <c r="A98" s="99" t="s">
        <v>64</v>
      </c>
      <c r="B98" s="112"/>
      <c r="C98" s="113"/>
      <c r="E98" s="113">
        <v>1320000</v>
      </c>
      <c r="F98" s="113">
        <v>1180000</v>
      </c>
      <c r="G98" s="113"/>
    </row>
    <row r="99" spans="1:7">
      <c r="A99" s="99" t="s">
        <v>65</v>
      </c>
      <c r="B99" s="112"/>
      <c r="C99" s="113"/>
      <c r="D99" s="113">
        <v>180000</v>
      </c>
      <c r="E99" s="113">
        <v>1000000</v>
      </c>
      <c r="F99" s="113">
        <v>1300000</v>
      </c>
      <c r="G99" s="113">
        <v>1500000</v>
      </c>
    </row>
    <row r="100" spans="1:7" ht="26">
      <c r="A100" s="114" t="s">
        <v>85</v>
      </c>
      <c r="B100" s="111" t="s">
        <v>84</v>
      </c>
      <c r="C100" s="97">
        <f>SUM(C101:C102)</f>
        <v>0</v>
      </c>
      <c r="D100" s="97">
        <f>SUM(D101:D102)</f>
        <v>450000</v>
      </c>
      <c r="E100" s="97">
        <f>SUM(E101:E102)</f>
        <v>0</v>
      </c>
      <c r="F100" s="97">
        <f>SUM(F101:F102)</f>
        <v>0</v>
      </c>
      <c r="G100" s="98">
        <f>SUM(G101:G102)</f>
        <v>0</v>
      </c>
    </row>
    <row r="101" spans="1:7">
      <c r="A101" s="99" t="s">
        <v>64</v>
      </c>
      <c r="B101" s="112"/>
      <c r="C101" s="113"/>
      <c r="D101" s="113">
        <v>350000</v>
      </c>
      <c r="E101" s="113"/>
      <c r="F101" s="113"/>
      <c r="G101" s="113"/>
    </row>
    <row r="102" spans="1:7">
      <c r="A102" s="99" t="s">
        <v>65</v>
      </c>
      <c r="B102" s="112"/>
      <c r="C102" s="113"/>
      <c r="D102" s="113">
        <v>100000</v>
      </c>
      <c r="E102" s="113"/>
      <c r="F102" s="113"/>
      <c r="G102" s="113"/>
    </row>
    <row r="103" spans="1:7" ht="39">
      <c r="A103" s="116" t="s">
        <v>87</v>
      </c>
      <c r="B103" s="82" t="s">
        <v>81</v>
      </c>
      <c r="C103" s="97">
        <f>SUM(C104:C105)</f>
        <v>0</v>
      </c>
      <c r="D103" s="97">
        <f>SUM(D104:D105)</f>
        <v>135000</v>
      </c>
      <c r="E103" s="97">
        <f>SUM(E104:E105)</f>
        <v>0</v>
      </c>
      <c r="F103" s="97">
        <f>SUM(F104:F105)</f>
        <v>0</v>
      </c>
      <c r="G103" s="98">
        <f>SUM(G104:G105)</f>
        <v>0</v>
      </c>
    </row>
    <row r="104" spans="1:7">
      <c r="A104" s="99" t="s">
        <v>64</v>
      </c>
      <c r="B104" s="112"/>
      <c r="C104" s="10"/>
      <c r="D104" s="113"/>
      <c r="E104" s="113"/>
      <c r="F104" s="113"/>
      <c r="G104" s="113"/>
    </row>
    <row r="105" spans="1:7">
      <c r="A105" s="99" t="s">
        <v>65</v>
      </c>
      <c r="B105" s="112"/>
      <c r="C105" s="113"/>
      <c r="D105" s="113">
        <v>135000</v>
      </c>
      <c r="E105" s="113"/>
      <c r="F105" s="113"/>
      <c r="G105" s="113"/>
    </row>
    <row r="106" spans="1:7" ht="13">
      <c r="A106" s="96" t="s">
        <v>86</v>
      </c>
      <c r="B106" s="115" t="s">
        <v>84</v>
      </c>
      <c r="C106" s="97">
        <f>SUM(C107:C108)</f>
        <v>0</v>
      </c>
      <c r="D106" s="97">
        <f>SUM(D107:D108)</f>
        <v>60000</v>
      </c>
      <c r="E106" s="97">
        <f>SUM(E107:E108)</f>
        <v>0</v>
      </c>
      <c r="F106" s="97">
        <f>SUM(F107:F108)</f>
        <v>0</v>
      </c>
      <c r="G106" s="98">
        <f>SUM(G107:G108)</f>
        <v>0</v>
      </c>
    </row>
    <row r="107" spans="1:7">
      <c r="A107" s="99" t="s">
        <v>64</v>
      </c>
      <c r="B107" s="112"/>
      <c r="C107" s="113"/>
      <c r="D107" s="113"/>
      <c r="E107" s="113"/>
      <c r="F107" s="113"/>
      <c r="G107" s="113"/>
    </row>
    <row r="108" spans="1:7">
      <c r="A108" s="99" t="s">
        <v>65</v>
      </c>
      <c r="B108" s="112"/>
      <c r="C108" s="113"/>
      <c r="D108" s="113">
        <v>60000</v>
      </c>
      <c r="E108" s="113"/>
      <c r="F108" s="113"/>
      <c r="G108" s="113"/>
    </row>
    <row r="109" spans="1:7">
      <c r="C109" s="35"/>
      <c r="D109" s="35"/>
      <c r="E109" s="35"/>
      <c r="F109" s="35"/>
      <c r="G109" s="35"/>
    </row>
    <row r="110" spans="1:7">
      <c r="C110" s="35"/>
      <c r="D110" s="35"/>
      <c r="E110" s="35"/>
      <c r="F110" s="35"/>
      <c r="G110" s="35"/>
    </row>
    <row r="111" spans="1:7">
      <c r="C111" s="35"/>
      <c r="D111" s="35"/>
      <c r="E111" s="35"/>
      <c r="F111" s="35"/>
      <c r="G111" s="35"/>
    </row>
    <row r="112" spans="1:7">
      <c r="C112" s="35"/>
      <c r="D112" s="35"/>
      <c r="E112" s="35"/>
      <c r="F112" s="35"/>
      <c r="G112" s="35"/>
    </row>
    <row r="113" spans="3:7">
      <c r="C113" s="35"/>
      <c r="D113" s="35"/>
      <c r="E113" s="35"/>
      <c r="F113" s="35"/>
      <c r="G113" s="35"/>
    </row>
    <row r="114" spans="3:7">
      <c r="C114" s="35"/>
      <c r="D114" s="35"/>
      <c r="E114" s="35"/>
      <c r="F114" s="35"/>
      <c r="G114" s="35"/>
    </row>
    <row r="115" spans="3:7">
      <c r="C115" s="35"/>
      <c r="D115" s="35"/>
      <c r="E115" s="35"/>
      <c r="F115" s="35"/>
      <c r="G115" s="35"/>
    </row>
    <row r="116" spans="3:7">
      <c r="C116" s="35"/>
      <c r="D116" s="35"/>
      <c r="E116" s="35"/>
      <c r="F116" s="35"/>
      <c r="G116" s="35"/>
    </row>
    <row r="117" spans="3:7">
      <c r="C117" s="35"/>
      <c r="D117" s="35"/>
      <c r="E117" s="35"/>
      <c r="F117" s="35"/>
      <c r="G117" s="35"/>
    </row>
    <row r="118" spans="3:7">
      <c r="C118" s="35"/>
      <c r="D118" s="35"/>
      <c r="E118" s="35"/>
      <c r="F118" s="35"/>
      <c r="G118" s="35"/>
    </row>
    <row r="119" spans="3:7">
      <c r="C119" s="35"/>
      <c r="D119" s="35"/>
      <c r="E119" s="35"/>
      <c r="F119" s="35"/>
      <c r="G119" s="35"/>
    </row>
    <row r="120" spans="3:7">
      <c r="C120" s="35"/>
      <c r="D120" s="35"/>
      <c r="E120" s="35"/>
      <c r="F120" s="35"/>
      <c r="G120" s="35"/>
    </row>
  </sheetData>
  <conditionalFormatting sqref="B49:G49">
    <cfRule type="cellIs" dxfId="1" priority="2" stopIfTrue="1" operator="lessThan">
      <formula>0</formula>
    </cfRule>
  </conditionalFormatting>
  <conditionalFormatting sqref="C20:G20">
    <cfRule type="cellIs" dxfId="0" priority="1" stopIfTrue="1" operator="lessThan">
      <formula>0</formula>
    </cfRule>
  </conditionalFormatting>
  <pageMargins left="0.74803149606299213" right="0.35433070866141736" top="0.98425196850393704" bottom="0.98425196850393704" header="0.51181102362204722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Strateegia vorm 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 Korotejev-Piir</dc:creator>
  <cp:lastModifiedBy>Pirge Paju</cp:lastModifiedBy>
  <dcterms:created xsi:type="dcterms:W3CDTF">2026-10-07T08:12:26Z</dcterms:created>
  <dcterms:modified xsi:type="dcterms:W3CDTF">2026-10-23T08:54:31Z</dcterms:modified>
</cp:coreProperties>
</file>